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A3097BD2-F264-B941-BFA3-793EE7E3669A}" xr6:coauthVersionLast="47" xr6:coauthVersionMax="47" xr10:uidLastSave="{00000000-0000-0000-0000-000000000000}"/>
  <bookViews>
    <workbookView xWindow="460" yWindow="500" windowWidth="32940" windowHeight="18240" tabRatio="751" activeTab="3" xr2:uid="{3D3722AC-4C10-4F30-98A5-B0BA8E61A4EC}"/>
  </bookViews>
  <sheets>
    <sheet name="Demog impair " sheetId="18" r:id="rId1"/>
    <sheet name="Compr table S1" sheetId="23" r:id="rId2"/>
    <sheet name="Summary table impar demo" sheetId="20" r:id="rId3"/>
    <sheet name=" Impairm Adult and children" sheetId="16" r:id="rId4"/>
    <sheet name="inhib vs baseline" sheetId="22" r:id="rId5"/>
    <sheet name="Demog corr updated" sheetId="19" r:id="rId6"/>
    <sheet name="Table corr demo" sheetId="21" r:id="rId7"/>
    <sheet name="Correl DATA" sheetId="11" r:id="rId8"/>
    <sheet name="Children list" sheetId="6" r:id="rId9"/>
    <sheet name="Children Raw" sheetId="7" r:id="rId10"/>
    <sheet name="AdolescentsAdults raw" sheetId="8"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7" i="23" l="1"/>
  <c r="T87" i="23"/>
  <c r="H87" i="23"/>
  <c r="G87" i="23"/>
  <c r="T85" i="23"/>
  <c r="U86" i="23"/>
  <c r="T86" i="23"/>
  <c r="H86" i="23"/>
  <c r="G86" i="23"/>
  <c r="S86" i="23"/>
  <c r="G85" i="23"/>
  <c r="H85" i="23"/>
  <c r="M85" i="23"/>
  <c r="N85" i="23"/>
  <c r="O85" i="23"/>
  <c r="S85" i="23"/>
  <c r="U85" i="23"/>
  <c r="U70" i="23"/>
  <c r="U69" i="23"/>
  <c r="T70" i="23"/>
  <c r="T69" i="23"/>
  <c r="T71" i="23"/>
  <c r="U71" i="23"/>
  <c r="G71" i="23"/>
  <c r="H69" i="23"/>
  <c r="H70" i="23"/>
  <c r="G70" i="23"/>
  <c r="G69" i="23"/>
  <c r="H71" i="23"/>
  <c r="S81" i="23"/>
  <c r="T81" i="23"/>
  <c r="U81" i="23"/>
  <c r="V81" i="23"/>
  <c r="S82" i="23"/>
  <c r="T82" i="23"/>
  <c r="U82" i="23"/>
  <c r="V82" i="23"/>
  <c r="H81" i="23"/>
  <c r="I81" i="23"/>
  <c r="H82" i="23"/>
  <c r="I82" i="23"/>
  <c r="H83" i="23"/>
  <c r="G83" i="23"/>
  <c r="G82" i="23"/>
  <c r="G81" i="23"/>
  <c r="J53" i="23"/>
  <c r="W53" i="23"/>
  <c r="J52" i="23"/>
  <c r="P39" i="23"/>
  <c r="U41" i="23"/>
  <c r="T41" i="23"/>
  <c r="H41" i="23"/>
  <c r="G41" i="23"/>
  <c r="V40" i="23"/>
  <c r="V39" i="23"/>
  <c r="U40" i="23"/>
  <c r="U39" i="23"/>
  <c r="T40" i="23"/>
  <c r="T39" i="23"/>
  <c r="Q40" i="23"/>
  <c r="Q39" i="23"/>
  <c r="P40" i="23"/>
  <c r="H39" i="23"/>
  <c r="I39" i="23"/>
  <c r="H40" i="23"/>
  <c r="I40" i="23"/>
  <c r="G40" i="23"/>
  <c r="G39" i="23"/>
  <c r="AA83" i="23"/>
  <c r="Z83" i="23"/>
  <c r="N82" i="23"/>
  <c r="M82" i="23"/>
  <c r="AA82" i="23"/>
  <c r="Z82" i="23"/>
  <c r="N81" i="23"/>
  <c r="M81" i="23"/>
  <c r="Q79" i="23"/>
  <c r="Q81" i="23" s="1"/>
  <c r="J79" i="23"/>
  <c r="W75" i="23"/>
  <c r="W82" i="23" s="1"/>
  <c r="J75" i="23"/>
  <c r="P74" i="23"/>
  <c r="P81" i="23" s="1"/>
  <c r="AA70" i="23"/>
  <c r="Z70" i="23"/>
  <c r="N70" i="23"/>
  <c r="M70" i="23"/>
  <c r="AA69" i="23"/>
  <c r="Z69" i="23"/>
  <c r="N69" i="23"/>
  <c r="M69" i="23"/>
  <c r="Q67" i="23"/>
  <c r="P67" i="23"/>
  <c r="W60" i="23"/>
  <c r="V60" i="23"/>
  <c r="W57" i="23"/>
  <c r="J57" i="23"/>
  <c r="W51" i="23"/>
  <c r="V51" i="23"/>
  <c r="J51" i="23"/>
  <c r="I51" i="23"/>
  <c r="Q50" i="23"/>
  <c r="P50" i="23"/>
  <c r="Q49" i="23"/>
  <c r="P49" i="23"/>
  <c r="W48" i="23"/>
  <c r="V48" i="23"/>
  <c r="V70" i="23" s="1"/>
  <c r="Q48" i="23"/>
  <c r="P48" i="23"/>
  <c r="P86" i="23" s="1"/>
  <c r="I48" i="23"/>
  <c r="W37" i="23"/>
  <c r="W40" i="23" s="1"/>
  <c r="J37" i="23"/>
  <c r="J40" i="23" s="1"/>
  <c r="AF74" i="22"/>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V86" i="23" l="1"/>
  <c r="I69" i="23"/>
  <c r="W70" i="23"/>
  <c r="J86" i="23"/>
  <c r="J85" i="23"/>
  <c r="Q70" i="23"/>
  <c r="I86" i="23"/>
  <c r="Q86" i="23"/>
  <c r="W86" i="23"/>
  <c r="O86" i="23"/>
  <c r="P85" i="23"/>
  <c r="I85" i="23"/>
  <c r="P70" i="23"/>
  <c r="W85" i="23"/>
  <c r="Q69" i="23"/>
  <c r="J70" i="23"/>
  <c r="I70" i="23"/>
  <c r="V85" i="23"/>
  <c r="Q85" i="23"/>
  <c r="V69" i="23"/>
  <c r="P69" i="23"/>
  <c r="J69" i="23"/>
  <c r="W69" i="23"/>
  <c r="P82" i="23"/>
  <c r="Q82" i="23"/>
  <c r="S69" i="23"/>
  <c r="J82" i="23"/>
  <c r="J81" i="23"/>
  <c r="W81" i="23"/>
  <c r="S70" i="23"/>
  <c r="J39" i="23"/>
  <c r="W39" i="23"/>
  <c r="AF29" i="22"/>
  <c r="AF35" i="22"/>
  <c r="AF71" i="22"/>
  <c r="Z19" i="22"/>
  <c r="Z20" i="22"/>
  <c r="Z22" i="22"/>
  <c r="L19" i="20"/>
  <c r="X76" i="18" l="1"/>
  <c r="V70" i="18"/>
  <c r="U70" i="18"/>
  <c r="G45" i="18"/>
  <c r="G73" i="18"/>
  <c r="G72" i="18"/>
  <c r="V84" i="18" l="1"/>
  <c r="U84" i="18"/>
  <c r="H84" i="18"/>
  <c r="G84" i="18"/>
  <c r="U83" i="18"/>
  <c r="V83" i="18"/>
  <c r="N83" i="18"/>
  <c r="M83" i="18"/>
  <c r="H83" i="18"/>
  <c r="G83" i="18"/>
  <c r="H82" i="18"/>
  <c r="M82" i="18"/>
  <c r="N82" i="18"/>
  <c r="U82" i="18"/>
  <c r="V82" i="18"/>
  <c r="G82" i="18"/>
  <c r="H72" i="18"/>
  <c r="G71" i="18"/>
  <c r="H71" i="18"/>
  <c r="M71" i="18"/>
  <c r="N71" i="18"/>
  <c r="U71" i="18"/>
  <c r="V71" i="18"/>
  <c r="H70" i="18"/>
  <c r="M70" i="18"/>
  <c r="N70" i="18"/>
  <c r="G70" i="18"/>
  <c r="H45" i="18"/>
  <c r="V45" i="18" l="1"/>
  <c r="U45" i="18"/>
  <c r="V44" i="18"/>
  <c r="W44" i="18"/>
  <c r="U44" i="18"/>
  <c r="R44" i="18"/>
  <c r="Q44" i="18"/>
  <c r="H44" i="18"/>
  <c r="I44" i="18"/>
  <c r="G44" i="18"/>
  <c r="V43" i="18"/>
  <c r="W43" i="18"/>
  <c r="U43" i="18"/>
  <c r="R43" i="18"/>
  <c r="H43" i="18"/>
  <c r="I43" i="18"/>
  <c r="G43" i="18"/>
  <c r="R110" i="18"/>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R97" i="18"/>
  <c r="Q97" i="18"/>
  <c r="J42" i="18"/>
  <c r="I49" i="18"/>
  <c r="Q49" i="18"/>
  <c r="R49" i="18"/>
  <c r="Q50" i="18"/>
  <c r="R50" i="18"/>
  <c r="I52" i="18"/>
  <c r="J52" i="18"/>
  <c r="J54" i="18"/>
  <c r="J53" i="18"/>
  <c r="J59" i="18"/>
  <c r="Q69" i="18"/>
  <c r="R69" i="18"/>
  <c r="Q75" i="18"/>
  <c r="J76" i="18"/>
  <c r="J80" i="18"/>
  <c r="R80" i="18"/>
  <c r="Q51" i="18"/>
  <c r="R51" i="18"/>
  <c r="Q88" i="18"/>
  <c r="R88" i="18"/>
  <c r="Q104" i="18"/>
  <c r="R104" i="18"/>
  <c r="Q114" i="18"/>
  <c r="R114" i="18"/>
  <c r="Y59" i="11"/>
  <c r="Y60" i="11"/>
  <c r="Y31" i="11"/>
  <c r="Y32" i="11"/>
  <c r="Y33" i="11"/>
  <c r="Y34" i="11"/>
  <c r="Q71" i="18" l="1"/>
  <c r="Q82" i="18"/>
  <c r="Q70" i="18"/>
  <c r="I71" i="18"/>
  <c r="I82" i="18"/>
  <c r="I70" i="18"/>
  <c r="I83" i="18"/>
  <c r="R83" i="18"/>
  <c r="Q83" i="18"/>
  <c r="R70" i="18"/>
  <c r="R71" i="18"/>
  <c r="R82" i="18"/>
  <c r="J82" i="18"/>
  <c r="J71" i="18"/>
  <c r="J70" i="18"/>
  <c r="J83" i="18"/>
  <c r="J44" i="18"/>
  <c r="J43" i="18"/>
  <c r="N104" i="11" l="1"/>
  <c r="AA105" i="11" s="1"/>
  <c r="M104" i="11"/>
  <c r="Z105" i="11" s="1"/>
  <c r="Y114" i="11"/>
  <c r="Y98" i="11"/>
  <c r="AB113" i="11" s="1"/>
  <c r="P11" i="19"/>
  <c r="O11" i="19"/>
  <c r="I53" i="19"/>
  <c r="I52" i="19"/>
  <c r="I51" i="19"/>
  <c r="AA82" i="18"/>
  <c r="AB82" i="18"/>
  <c r="AA83" i="18"/>
  <c r="AB83" i="18"/>
  <c r="U72" i="18"/>
  <c r="V72" i="18"/>
  <c r="AB71" i="18"/>
  <c r="AB70" i="18"/>
  <c r="AA71" i="18"/>
  <c r="AA70" i="18"/>
  <c r="F109" i="11" l="1"/>
  <c r="P75" i="19" l="1"/>
  <c r="L75" i="19"/>
  <c r="O47" i="19"/>
  <c r="K80" i="19"/>
  <c r="P46" i="19"/>
  <c r="L46" i="19"/>
  <c r="P7" i="19"/>
  <c r="O7" i="19"/>
  <c r="K7" i="19"/>
  <c r="W88" i="18"/>
  <c r="V88" i="18"/>
  <c r="U88" i="18"/>
  <c r="X62" i="18"/>
  <c r="W62" i="18"/>
  <c r="X59" i="18"/>
  <c r="X54" i="18"/>
  <c r="X52" i="18"/>
  <c r="W52" i="18"/>
  <c r="X49" i="18"/>
  <c r="W49" i="18"/>
  <c r="X42" i="18"/>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W82" i="18"/>
  <c r="W83" i="18"/>
  <c r="X82" i="18"/>
  <c r="X83" i="18"/>
  <c r="X71" i="18"/>
  <c r="X70" i="18"/>
  <c r="W71" i="18"/>
  <c r="W70" i="18"/>
  <c r="X43" i="18"/>
  <c r="X44" i="18"/>
  <c r="X88" i="18"/>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tc={45DAD5BF-4A3C-0C4B-85BA-69BD6AE8964D}</author>
    <author>tc={15B74453-9C5E-8D4C-8916-AB3655203A06}</author>
    <author>tc={EC258EC5-AE8E-467B-BE84-9F402725B75B}</author>
    <author>tc={2B53BE94-49D7-4A55-A07E-1A11825B8DC8}</author>
    <author>Romani, Cristina</author>
    <author>tc={82A9E382-3FD9-4D7D-BC2E-E467C02B3C30}</author>
    <author>tc={12BA6E66-2DD2-483A-B03C-9FF1ADD57D42}</author>
    <author>tc={CCE6ED34-A4A3-4EFE-B5A2-65EE90D071C2}</author>
    <author>tc={D4DF10CA-7DF6-480B-B26A-63A878DB25A1}</author>
  </authors>
  <commentList>
    <comment ref="V18" authorId="0" shapeId="0" xr:uid="{FE4358C6-0EB4-4CCB-A909-2767F15CCEDC}">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883FF5C6-5256-4C78-8657-118EC29F38C6}">
      <text>
        <r>
          <rPr>
            <b/>
            <sz val="9"/>
            <color indexed="81"/>
            <rFont val="Tahoma"/>
            <family val="2"/>
          </rPr>
          <t>Megan Staines (Research Student):</t>
        </r>
        <r>
          <rPr>
            <sz val="9"/>
            <color indexed="81"/>
            <rFont val="Tahoma"/>
            <family val="2"/>
          </rPr>
          <t xml:space="preserve">
age and sex matched according to paper</t>
        </r>
      </text>
    </comment>
    <comment ref="Y25" authorId="0" shapeId="0" xr:uid="{F66ECA33-26B4-42D9-A87B-5CDC941457CF}">
      <text>
        <r>
          <rPr>
            <b/>
            <sz val="9"/>
            <color indexed="81"/>
            <rFont val="Tahoma"/>
            <family val="2"/>
          </rPr>
          <t>Megan Staines (Research Student):</t>
        </r>
        <r>
          <rPr>
            <sz val="9"/>
            <color indexed="81"/>
            <rFont val="Tahoma"/>
            <family val="2"/>
          </rPr>
          <t xml:space="preserve">
age and sex matched according to paper</t>
        </r>
      </text>
    </comment>
    <comment ref="I26" authorId="0" shapeId="0" xr:uid="{6084568E-CB1B-4683-A34B-844F2D8EE99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7" authorId="0" shapeId="0" xr:uid="{D09BA36E-0CE9-48C1-99FA-D3093730EE42}">
      <text>
        <r>
          <rPr>
            <b/>
            <sz val="9"/>
            <color indexed="81"/>
            <rFont val="Tahoma"/>
            <family val="2"/>
          </rPr>
          <t>Megan Staines (Research Student):</t>
        </r>
        <r>
          <rPr>
            <sz val="9"/>
            <color indexed="81"/>
            <rFont val="Tahoma"/>
            <family val="2"/>
          </rPr>
          <t xml:space="preserve">
age and sex matched according to paper</t>
        </r>
      </text>
    </comment>
    <comment ref="I28" authorId="0" shapeId="0" xr:uid="{AACD5131-E33C-4229-9831-FD9705FEC266}">
      <text>
        <r>
          <rPr>
            <b/>
            <sz val="9"/>
            <color indexed="81"/>
            <rFont val="Tahoma"/>
            <family val="2"/>
          </rPr>
          <t>Megan Staines (Research Student):</t>
        </r>
        <r>
          <rPr>
            <sz val="9"/>
            <color indexed="81"/>
            <rFont val="Tahoma"/>
            <family val="2"/>
          </rPr>
          <t xml:space="preserve">
(Median)</t>
        </r>
      </text>
    </comment>
    <comment ref="M28" authorId="0" shapeId="0" xr:uid="{CA5C85FF-08F2-4905-B48B-FA21F786905B}">
      <text>
        <r>
          <rPr>
            <b/>
            <sz val="9"/>
            <color indexed="81"/>
            <rFont val="Tahoma"/>
            <family val="2"/>
          </rPr>
          <t>Megan Staines (Research Student):</t>
        </r>
        <r>
          <rPr>
            <sz val="9"/>
            <color indexed="81"/>
            <rFont val="Tahoma"/>
            <family val="2"/>
          </rPr>
          <t xml:space="preserve">
Median
</t>
        </r>
      </text>
    </comment>
    <comment ref="Q28" authorId="0" shapeId="0" xr:uid="{CAA52531-C597-48D9-8D8A-3D1B962753DF}">
      <text>
        <r>
          <rPr>
            <b/>
            <sz val="9"/>
            <color indexed="81"/>
            <rFont val="Tahoma"/>
            <family val="2"/>
          </rPr>
          <t>Megan Staines (Research Student):</t>
        </r>
        <r>
          <rPr>
            <sz val="9"/>
            <color indexed="81"/>
            <rFont val="Tahoma"/>
            <family val="2"/>
          </rPr>
          <t xml:space="preserve">
Median
</t>
        </r>
      </text>
    </comment>
    <comment ref="W28" authorId="0" shapeId="0" xr:uid="{987672F5-482B-4243-9F70-673D8F641E8D}">
      <text>
        <r>
          <rPr>
            <b/>
            <sz val="9"/>
            <color indexed="81"/>
            <rFont val="Tahoma"/>
            <family val="2"/>
          </rPr>
          <t>Megan Staines (Research Student):</t>
        </r>
        <r>
          <rPr>
            <sz val="9"/>
            <color indexed="81"/>
            <rFont val="Tahoma"/>
            <family val="2"/>
          </rPr>
          <t xml:space="preserve">
 (median)</t>
        </r>
      </text>
    </comment>
    <comment ref="I29" authorId="0" shapeId="0" xr:uid="{7C0848EA-77CE-4B61-B2D4-13BB54C33C01}">
      <text>
        <r>
          <rPr>
            <b/>
            <sz val="9"/>
            <color indexed="81"/>
            <rFont val="Tahoma"/>
            <family val="2"/>
          </rPr>
          <t>Megan Staines (Research Student):</t>
        </r>
        <r>
          <rPr>
            <sz val="9"/>
            <color indexed="81"/>
            <rFont val="Tahoma"/>
            <family val="2"/>
          </rPr>
          <t xml:space="preserve">
check</t>
        </r>
      </text>
    </comment>
    <comment ref="K38" authorId="0" shapeId="0" xr:uid="{BCD5EA40-BCBB-41A9-8EE6-45EFE72AEC89}">
      <text>
        <r>
          <rPr>
            <b/>
            <sz val="9"/>
            <color indexed="81"/>
            <rFont val="Tahoma"/>
            <family val="2"/>
          </rPr>
          <t>Megan Staines (Research Student):</t>
        </r>
        <r>
          <rPr>
            <sz val="9"/>
            <color indexed="81"/>
            <rFont val="Tahoma"/>
            <family val="2"/>
          </rPr>
          <t xml:space="preserve">
range for combined group is 22-38</t>
        </r>
      </text>
    </comment>
    <comment ref="I47" authorId="1" shapeId="0" xr:uid="{45DAD5BF-4A3C-0C4B-85BA-69BD6AE8964D}">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7" authorId="2" shapeId="0" xr:uid="{15B74453-9C5E-8D4C-8916-AB3655203A06}">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2" authorId="3" shapeId="0" xr:uid="{EC258EC5-AE8E-467B-BE84-9F402725B75B}">
      <text>
        <t>[Threaded comment]
Your version of Excel allows you to read this threaded comment; however, any edits to it will get removed if the file is opened in a newer version of Excel. Learn more: https://go.microsoft.com/fwlink/?linkid=870924
Comment:
    Raven's Matrices</t>
      </text>
    </comment>
    <comment ref="I53" authorId="0" shapeId="0" xr:uid="{C1D3BABD-A5DF-4649-B606-8D28CD3549EF}">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9" authorId="4" shapeId="0" xr:uid="{2B53BE94-49D7-4A55-A07E-1A11825B8DC8}">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3" authorId="5" shapeId="0" xr:uid="{A56F087B-0B34-7745-8FA5-9287E5A77FB2}">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39B5DE67-D4FE-48FD-AA4D-13BEB2480E3E}">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4" authorId="5" shapeId="0" xr:uid="{E4F41F2D-EDC7-D245-9B99-94AC2E4FE9C0}">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4" authorId="0" shapeId="0" xr:uid="{8AC95D0F-07E0-C74C-8B10-D905B56A9F8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9" authorId="6" shapeId="0" xr:uid="{82A9E382-3FD9-4D7D-BC2E-E467C02B3C30}">
      <text>
        <t>[Threaded comment]
Your version of Excel allows you to read this threaded comment; however, any edits to it will get removed if the file is opened in a newer version of Excel. Learn more: https://go.microsoft.com/fwlink/?linkid=870924
Comment:
    IDC last 6 months</t>
      </text>
    </comment>
    <comment ref="G113" authorId="7" shapeId="0" xr:uid="{12BA6E66-2DD2-483A-B03C-9FF1ADD57D42}">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CCE6ED34-A4A3-4EFE-B5A2-65EE90D071C2}">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D4DF10CA-7DF6-480B-B26A-63A878DB25A1}">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tc={81E7250E-58A7-4A75-A6F0-812F7378E966}</author>
    <author>tc={4E83F9C6-3B74-475B-8EF6-4013B845CD23}</author>
    <author>tc={CAE82B58-BDB0-416E-AC37-B6F947E6EEAC}</author>
    <author>tc={579382AB-3E65-4251-A6EB-590B6A7FDB17}</author>
    <author>Romani, Cristina</author>
    <author>tc={0DD759CE-D77A-465E-8209-B0D820F66D01}</author>
  </authors>
  <commentList>
    <comment ref="U14" authorId="0" shapeId="0" xr:uid="{F0CD5C48-6CBB-4328-AD04-4E9ABE04314E}">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24CF276-55FC-47A3-A29F-E8162DE32794}">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21BD5806-DB78-4348-90C8-5D7FC5C259E7}">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B920B892-A4FD-4F34-AF72-E0EB75A0ABB6}">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2DE5CAAC-A5BD-4524-86DE-B15A143C45EA}">
      <text>
        <r>
          <rPr>
            <b/>
            <sz val="9"/>
            <color indexed="81"/>
            <rFont val="Tahoma"/>
            <family val="2"/>
          </rPr>
          <t>Megan Staines (Research Student):</t>
        </r>
        <r>
          <rPr>
            <sz val="9"/>
            <color indexed="81"/>
            <rFont val="Tahoma"/>
            <family val="2"/>
          </rPr>
          <t xml:space="preserve">
(Median)</t>
        </r>
      </text>
    </comment>
    <comment ref="M23" authorId="0" shapeId="0" xr:uid="{06CD855C-8DF1-4530-8C4D-28B23DB07AF6}">
      <text>
        <r>
          <rPr>
            <b/>
            <sz val="9"/>
            <color indexed="81"/>
            <rFont val="Tahoma"/>
            <family val="2"/>
          </rPr>
          <t>Megan Staines (Research Student):</t>
        </r>
        <r>
          <rPr>
            <sz val="9"/>
            <color indexed="81"/>
            <rFont val="Tahoma"/>
            <family val="2"/>
          </rPr>
          <t xml:space="preserve">
Median
</t>
        </r>
      </text>
    </comment>
    <comment ref="P23" authorId="0" shapeId="0" xr:uid="{6B905BF3-5534-4D21-8A7D-FA64CEF5FFE0}">
      <text>
        <r>
          <rPr>
            <b/>
            <sz val="9"/>
            <color indexed="81"/>
            <rFont val="Tahoma"/>
            <family val="2"/>
          </rPr>
          <t>Megan Staines (Research Student):</t>
        </r>
        <r>
          <rPr>
            <sz val="9"/>
            <color indexed="81"/>
            <rFont val="Tahoma"/>
            <family val="2"/>
          </rPr>
          <t xml:space="preserve">
Median
</t>
        </r>
      </text>
    </comment>
    <comment ref="V23" authorId="0" shapeId="0" xr:uid="{A85FEA77-39A5-4AD2-AC44-531849D2ADB5}">
      <text>
        <r>
          <rPr>
            <b/>
            <sz val="9"/>
            <color indexed="81"/>
            <rFont val="Tahoma"/>
            <family val="2"/>
          </rPr>
          <t>Megan Staines (Research Student):</t>
        </r>
        <r>
          <rPr>
            <sz val="9"/>
            <color indexed="81"/>
            <rFont val="Tahoma"/>
            <family val="2"/>
          </rPr>
          <t xml:space="preserve">
 (median)</t>
        </r>
      </text>
    </comment>
    <comment ref="I24" authorId="0" shapeId="0" xr:uid="{A0B3985F-7010-45B3-84FB-A3953C5EA797}">
      <text>
        <r>
          <rPr>
            <b/>
            <sz val="9"/>
            <color indexed="81"/>
            <rFont val="Tahoma"/>
            <family val="2"/>
          </rPr>
          <t>Megan Staines (Research Student):</t>
        </r>
        <r>
          <rPr>
            <sz val="9"/>
            <color indexed="81"/>
            <rFont val="Tahoma"/>
            <family val="2"/>
          </rPr>
          <t xml:space="preserve">
check</t>
        </r>
      </text>
    </comment>
    <comment ref="I46" authorId="1" shapeId="0" xr:uid="{81E7250E-58A7-4A75-A6F0-812F7378E966}">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4E83F9C6-3B74-475B-8EF6-4013B845CD23}">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AE82B58-BDB0-416E-AC37-B6F947E6EEAC}">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A56C0BA6-AFD3-4D13-9ECF-A506334425F0}">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579382AB-3E65-4251-A6EB-590B6A7FDB17}">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E35153B2-6A23-470D-A0D9-5312B74711C8}">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88E5B511-5AAD-4225-A366-97F5A4AC23E3}">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0DD759CE-D77A-465E-8209-B0D820F66D01}">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<sst xmlns="http://schemas.openxmlformats.org/spreadsheetml/2006/main" count="13168" uniqueCount="2711">
  <si>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</si>
  <si>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</si>
  <si>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</si>
  <si>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</si>
  <si>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</si>
  <si>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</si>
  <si>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</si>
  <si>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</si>
  <si>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</si>
  <si>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</si>
  <si>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</si>
  <si>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</si>
  <si>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</si>
  <si>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</si>
  <si>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</si>
  <si>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</si>
  <si>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</si>
  <si>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</si>
  <si>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</si>
  <si>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</si>
  <si>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</si>
  <si>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</si>
  <si>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</si>
  <si>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</si>
  <si>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</si>
  <si>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</si>
  <si>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</si>
  <si>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</si>
  <si>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</si>
  <si>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</si>
  <si>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</si>
  <si>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</si>
  <si>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</si>
  <si>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</si>
  <si>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</si>
  <si>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</si>
  <si>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</si>
  <si>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</si>
  <si>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</si>
  <si>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</si>
  <si>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</si>
  <si>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</si>
  <si>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</si>
  <si>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</si>
  <si>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</si>
  <si>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</si>
  <si>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</si>
  <si>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</si>
  <si>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</si>
  <si>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</si>
  <si>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</si>
  <si>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</si>
  <si>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</si>
  <si>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</si>
  <si>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</si>
  <si>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</si>
  <si>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</si>
  <si>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</si>
  <si>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</si>
  <si>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</si>
  <si>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</si>
  <si>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</si>
  <si>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</si>
  <si>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</si>
  <si>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</si>
  <si>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</si>
  <si>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</si>
  <si>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</si>
  <si>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</si>
  <si>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</si>
  <si>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</si>
  <si>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</si>
  <si>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</si>
  <si>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</si>
  <si>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</si>
  <si>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</si>
  <si>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</si>
  <si>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</si>
  <si>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</si>
  <si>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</si>
  <si>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</si>
  <si>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</si>
  <si>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</si>
  <si>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</si>
  <si>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</si>
  <si>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</si>
  <si>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</si>
  <si>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</si>
  <si>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</si>
  <si>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</si>
  <si>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</si>
  <si>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</si>
  <si>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</si>
  <si>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</si>
  <si>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</si>
  <si>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</si>
  <si>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</si>
  <si>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</si>
  <si>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</si>
  <si>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</si>
  <si>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</si>
  <si>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</si>
  <si>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</si>
  <si>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</si>
  <si>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</si>
  <si>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</si>
  <si>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</si>
  <si>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</si>
  <si>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</si>
  <si>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</si>
  <si>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</si>
  <si>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</si>
  <si>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</si>
  <si>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</si>
  <si>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</si>
  <si>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</si>
  <si>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</si>
  <si>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</si>
  <si>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</si>
  <si>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</si>
  <si>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</si>
  <si>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</si>
  <si>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</si>
  <si>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</si>
  <si>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</si>
  <si>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</si>
  <si>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</si>
  <si>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</si>
  <si>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</si>
  <si>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</si>
  <si>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</si>
  <si>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</si>
  <si>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</si>
  <si>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</si>
  <si>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</si>
  <si>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</si>
  <si>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</si>
  <si>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</si>
  <si>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</si>
  <si>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</si>
  <si>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</si>
  <si>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</si>
  <si>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</si>
  <si>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</si>
  <si>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</si>
  <si>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</si>
  <si>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</si>
  <si>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</si>
  <si>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</si>
  <si>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</si>
  <si>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</si>
  <si>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</si>
  <si>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</si>
  <si>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</si>
  <si>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</si>
  <si>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</si>
  <si>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</si>
  <si>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</si>
  <si>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</si>
  <si>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</si>
  <si>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</si>
  <si>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</si>
  <si>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</si>
  <si>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</si>
  <si>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</si>
  <si>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</si>
  <si>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</si>
  <si>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</si>
  <si>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</si>
  <si>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</si>
  <si>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</si>
  <si>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</si>
  <si>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</si>
  <si>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</si>
  <si>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</si>
  <si>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</si>
  <si>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</si>
  <si>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</si>
  <si>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</si>
  <si>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</si>
  <si>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</si>
  <si>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</si>
  <si>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</si>
  <si>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</si>
  <si>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</si>
  <si>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</si>
  <si>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</si>
  <si>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</si>
  <si>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</si>
  <si>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</si>
  <si>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</si>
  <si>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</si>
  <si>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</si>
  <si>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</si>
  <si>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</si>
  <si>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</si>
  <si>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</si>
  <si>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</si>
  <si>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</si>
  <si>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</si>
  <si>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</si>
  <si>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</si>
  <si>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</si>
  <si>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</si>
  <si>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</si>
  <si>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</si>
  <si>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</si>
  <si>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</si>
  <si>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</si>
  <si>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</si>
  <si>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</si>
  <si>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</si>
  <si>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</si>
  <si>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</si>
  <si>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</si>
  <si>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</si>
  <si>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</si>
  <si>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</si>
  <si>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</si>
  <si>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</si>
  <si>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</si>
  <si>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</si>
  <si>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</si>
  <si>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</si>
  <si>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</si>
  <si>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</si>
  <si>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</si>
  <si>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</si>
  <si>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</si>
  <si>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</si>
  <si>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</si>
  <si>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</si>
  <si>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</si>
  <si>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</si>
  <si>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</si>
  <si>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</si>
  <si>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</si>
  <si>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</si>
  <si>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</si>
  <si>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</si>
  <si>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</si>
  <si>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</si>
  <si>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</si>
  <si>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</si>
  <si>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</si>
  <si>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</si>
  <si>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</si>
  <si>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</si>
  <si>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</si>
  <si>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</si>
  <si>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</si>
  <si>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</si>
  <si>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</si>
  <si>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</si>
  <si>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</si>
  <si>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</si>
  <si>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</si>
  <si>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</si>
  <si>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</si>
  <si>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</si>
  <si>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</si>
  <si>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</si>
  <si>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</si>
  <si>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</si>
  <si>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</si>
  <si>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</si>
  <si>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</si>
  <si>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</si>
  <si>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</si>
  <si>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</si>
  <si>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</si>
  <si>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</si>
  <si>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</si>
  <si>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</si>
  <si>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</si>
  <si>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</si>
  <si>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</si>
  <si>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</si>
  <si>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</si>
  <si>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</si>
  <si>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</si>
  <si>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</si>
  <si>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</si>
  <si>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</si>
  <si>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</si>
  <si>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</si>
  <si>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</si>
  <si>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</si>
  <si>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</si>
  <si>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</si>
  <si>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</si>
  <si>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</si>
  <si>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</si>
  <si>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</si>
  <si>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</si>
  <si>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</si>
  <si>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</si>
  <si>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</si>
  <si>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</si>
  <si>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</si>
  <si>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</si>
  <si>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</si>
  <si>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</si>
  <si>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</si>
  <si>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</si>
  <si>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</si>
  <si>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</si>
  <si>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</si>
  <si>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</si>
  <si>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</si>
  <si>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</si>
  <si>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</si>
  <si>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</si>
  <si>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</si>
  <si>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</si>
  <si>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</si>
  <si>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</si>
  <si>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</si>
  <si>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</si>
  <si>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</si>
  <si>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</si>
  <si>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</si>
  <si>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</si>
  <si>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</si>
  <si>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</si>
  <si>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</si>
  <si>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</si>
  <si>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</si>
  <si>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</si>
  <si>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</si>
  <si>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</si>
  <si>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</si>
  <si>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</si>
  <si>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</si>
  <si>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</si>
  <si>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</si>
  <si>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</si>
  <si>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</si>
  <si>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</si>
  <si>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</si>
  <si>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</si>
  <si>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</si>
  <si>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</si>
  <si>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</si>
  <si>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</si>
  <si>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</si>
  <si>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</si>
  <si>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</si>
  <si>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</si>
  <si>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</si>
  <si>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</si>
  <si>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</si>
  <si>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</si>
  <si>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</si>
  <si>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</si>
  <si>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</si>
  <si>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</si>
  <si>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</si>
  <si>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</si>
  <si>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</si>
  <si>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</si>
  <si>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</si>
  <si>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</si>
  <si>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</si>
  <si>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</si>
  <si>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</si>
  <si>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</si>
  <si>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</si>
  <si>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</si>
  <si>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</si>
  <si>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</si>
  <si>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</si>
  <si>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</si>
  <si>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</si>
  <si>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</si>
  <si>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</si>
  <si>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</si>
  <si>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</si>
  <si>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</si>
  <si>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</si>
  <si>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</si>
  <si>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</si>
  <si>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</si>
  <si>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</si>
  <si>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</si>
  <si>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</si>
  <si>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</si>
  <si>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</si>
  <si>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</si>
  <si>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</si>
  <si>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</si>
  <si>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</si>
  <si>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</si>
  <si>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</si>
  <si>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</si>
  <si>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</si>
  <si>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</si>
  <si>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</si>
  <si>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</si>
  <si>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</si>
  <si>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</si>
  <si>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</si>
  <si>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</si>
  <si>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</si>
  <si>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</si>
  <si>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</si>
  <si>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</si>
  <si>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</si>
  <si>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</si>
  <si>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</si>
  <si>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</si>
  <si>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</si>
  <si>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</si>
  <si>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</si>
  <si>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</si>
  <si>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</si>
  <si>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</si>
  <si>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</si>
  <si>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</si>
  <si>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</si>
  <si>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</si>
  <si>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</si>
  <si>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</si>
  <si>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</si>
  <si>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</si>
  <si>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</si>
  <si>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</si>
  <si>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</si>
  <si>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</si>
  <si>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</si>
  <si>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</si>
  <si>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</si>
  <si>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</si>
  <si>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</si>
  <si>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</si>
  <si>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</si>
  <si>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</si>
  <si>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</si>
  <si>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</si>
  <si>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</si>
  <si>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</si>
  <si>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</si>
  <si>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</si>
  <si>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</si>
  <si>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</si>
  <si>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</si>
  <si>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</si>
  <si>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</si>
  <si>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</si>
  <si>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</si>
  <si>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</si>
  <si>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</si>
  <si>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</si>
  <si>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</si>
  <si>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</si>
  <si>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</si>
  <si>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</si>
  <si>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</si>
  <si>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</si>
  <si>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</si>
  <si>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</si>
  <si>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</si>
  <si>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</si>
  <si>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</si>
  <si>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</si>
  <si>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</si>
  <si>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</si>
  <si>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</si>
  <si>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</si>
  <si>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</si>
  <si>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</si>
  <si>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</si>
  <si>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</si>
  <si>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</si>
  <si>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</si>
  <si>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</si>
  <si>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</si>
  <si>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</si>
  <si>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</si>
  <si>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</si>
  <si>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</si>
  <si>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</si>
  <si>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</si>
  <si>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</si>
  <si>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</si>
  <si>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</si>
  <si>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</si>
  <si>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</si>
  <si>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</si>
  <si>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</si>
  <si>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</si>
  <si>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</si>
  <si>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</si>
  <si>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</si>
  <si>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</si>
  <si>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</si>
  <si>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</si>
  <si>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</si>
  <si>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</si>
  <si>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</si>
  <si>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</si>
  <si>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</si>
  <si>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</si>
  <si>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</si>
  <si>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</si>
  <si>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</si>
  <si>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</si>
  <si>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</si>
  <si>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</si>
  <si>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</si>
  <si>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</si>
  <si>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</si>
  <si>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</si>
  <si>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</si>
  <si>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</si>
  <si>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</si>
  <si>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</si>
  <si>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</si>
  <si>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</si>
  <si>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</si>
  <si>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</si>
  <si>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</si>
  <si>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</si>
  <si>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</si>
  <si>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</si>
  <si>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</si>
  <si>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</si>
  <si>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</si>
  <si>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</si>
  <si>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</si>
  <si>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</si>
  <si>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</si>
  <si>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</si>
  <si>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</si>
  <si>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</si>
  <si>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</si>
  <si>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</si>
  <si>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</si>
  <si>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</si>
  <si>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</si>
  <si>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</si>
  <si>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</si>
  <si>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</si>
  <si>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</si>
  <si>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</si>
  <si>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</si>
  <si>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</si>
  <si>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</si>
  <si>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</si>
  <si>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</si>
  <si>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</si>
  <si>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</si>
  <si>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</si>
  <si>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</si>
  <si>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</si>
  <si>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</si>
  <si>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</si>
  <si>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</si>
  <si>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</si>
  <si>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</si>
  <si>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</si>
  <si>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</si>
  <si>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</si>
  <si>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</si>
  <si>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</si>
  <si>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</si>
  <si>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</si>
  <si>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</si>
  <si>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</si>
  <si>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</si>
  <si>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</si>
  <si>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</si>
  <si>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</si>
  <si>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</si>
  <si>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</si>
  <si>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</si>
  <si>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</si>
  <si>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</si>
  <si>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</si>
  <si>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</si>
  <si>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</si>
  <si>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</si>
  <si>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</si>
  <si>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</si>
  <si>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</si>
  <si>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</si>
  <si>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</si>
  <si>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</si>
  <si>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</si>
  <si>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</si>
  <si>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</si>
  <si>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</si>
  <si>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</si>
  <si>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</si>
  <si>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</si>
  <si>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</si>
  <si>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</si>
  <si>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</si>
  <si>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</si>
  <si>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</si>
  <si>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</si>
  <si>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</si>
  <si>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</si>
  <si>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</si>
  <si>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</si>
  <si>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</si>
  <si>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</si>
  <si>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</si>
  <si>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</si>
  <si>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</si>
  <si>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</si>
  <si>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</si>
  <si>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</si>
  <si>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</si>
  <si>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</si>
  <si>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</si>
  <si>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</si>
  <si>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</si>
  <si>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</si>
  <si>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</si>
  <si>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</si>
  <si>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</si>
  <si>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</si>
  <si>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</si>
  <si>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</si>
  <si>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</si>
  <si>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</si>
  <si>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</si>
  <si>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</si>
  <si>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</si>
  <si>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</si>
  <si>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</si>
  <si>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</si>
  <si>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</si>
  <si>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</si>
  <si>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</si>
  <si>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</si>
  <si>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</si>
  <si>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</si>
  <si>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</si>
  <si>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</si>
  <si>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</si>
  <si>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</si>
  <si>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</si>
  <si>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</si>
  <si>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</si>
  <si>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</si>
  <si>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</si>
  <si>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</si>
  <si>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</si>
  <si>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</si>
  <si>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</si>
  <si>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</si>
  <si>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</si>
  <si>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</si>
  <si>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</si>
  <si>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</si>
  <si>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</si>
  <si>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</si>
  <si>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</si>
  <si>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</si>
  <si>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</si>
  <si>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</si>
  <si>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</si>
  <si>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</si>
  <si>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</si>
  <si>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</si>
  <si>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</si>
  <si>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</si>
  <si>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</si>
  <si>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</si>
  <si>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</si>
  <si>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</si>
  <si>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</si>
  <si>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</si>
  <si>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</si>
  <si>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</si>
  <si>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</si>
  <si>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</si>
  <si>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</si>
  <si>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</si>
  <si>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</si>
  <si>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</si>
  <si>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</si>
  <si>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</si>
  <si>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</si>
  <si>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</si>
  <si>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</si>
  <si>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</si>
  <si>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</si>
  <si>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</si>
  <si>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</si>
  <si>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</si>
  <si>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</si>
  <si>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</si>
  <si>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</si>
  <si>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</si>
  <si>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</si>
  <si>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</si>
  <si>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</si>
  <si>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</si>
  <si>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</si>
  <si>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</si>
  <si>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</si>
  <si>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</si>
  <si>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</si>
  <si>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</si>
  <si>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</si>
  <si>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</si>
  <si>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</si>
  <si>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</si>
  <si>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</si>
  <si>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</si>
  <si>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</si>
  <si>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</si>
  <si>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</si>
  <si>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</si>
  <si>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</si>
  <si>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</si>
  <si>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</si>
  <si>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</si>
  <si>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</si>
  <si>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</si>
  <si>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</si>
  <si>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</si>
  <si>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</si>
  <si>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</si>
  <si>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</si>
  <si>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</si>
  <si>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</si>
  <si>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</si>
  <si>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</si>
  <si>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</si>
  <si>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</si>
  <si>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</si>
  <si>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</si>
  <si>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</si>
  <si>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</si>
  <si>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</si>
  <si>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</si>
  <si>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</si>
  <si>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</si>
  <si>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</si>
  <si>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</si>
  <si>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</si>
  <si>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</si>
  <si>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</si>
  <si>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</si>
  <si>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</si>
  <si>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</si>
  <si>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</si>
  <si>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</si>
  <si>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</si>
  <si>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</si>
  <si>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</si>
  <si>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</si>
  <si>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</si>
  <si>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</si>
  <si>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</si>
  <si>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</si>
  <si>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</si>
  <si>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</si>
  <si>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</si>
  <si>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</si>
  <si>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</si>
  <si>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</si>
  <si>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</si>
  <si>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</si>
  <si>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</si>
  <si>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</si>
  <si>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</si>
  <si>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</si>
  <si>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</si>
  <si>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</si>
  <si>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</si>
  <si>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</si>
  <si>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</si>
  <si>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</si>
  <si>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</si>
  <si>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</si>
  <si>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</si>
  <si>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</si>
  <si>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</si>
  <si>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</si>
  <si>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</si>
  <si>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</si>
  <si>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</si>
  <si>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</si>
  <si>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</si>
  <si>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</si>
  <si>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</si>
  <si>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</si>
  <si>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</si>
  <si>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</si>
  <si>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</si>
  <si>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</si>
  <si>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</si>
  <si>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</si>
  <si>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</si>
  <si>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</si>
  <si>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</si>
  <si>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</si>
  <si>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</si>
  <si>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</si>
  <si>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</si>
  <si>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</si>
  <si>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</si>
  <si>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</si>
  <si>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</si>
  <si>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</si>
  <si>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</si>
  <si>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</si>
  <si>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</si>
  <si>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</si>
  <si>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</si>
  <si>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</si>
  <si>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</si>
  <si>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</si>
  <si>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</si>
  <si>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</si>
  <si>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</si>
  <si>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</si>
  <si>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</si>
  <si>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</si>
  <si>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</si>
  <si>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</si>
  <si>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</si>
  <si>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</si>
  <si>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</si>
  <si>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</si>
  <si>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</si>
  <si>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</si>
  <si>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</si>
  <si>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</si>
  <si>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</si>
  <si>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</si>
  <si>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</si>
  <si>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</si>
  <si>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</si>
  <si>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</si>
  <si>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</si>
  <si>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</si>
  <si>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</si>
  <si>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</si>
  <si>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</si>
  <si>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</si>
  <si>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</si>
  <si>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</si>
  <si>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</si>
  <si>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</si>
  <si>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</si>
  <si>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</si>
  <si>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</si>
  <si>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</si>
  <si>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</si>
  <si>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</si>
  <si>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</si>
  <si>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</si>
  <si>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</si>
  <si>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</si>
  <si>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</si>
  <si>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</si>
  <si>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</si>
  <si>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</si>
  <si>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</si>
  <si>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</si>
  <si>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</si>
  <si>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</si>
  <si>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</si>
  <si>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</si>
  <si>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</si>
  <si>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</si>
  <si>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</si>
  <si>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</si>
  <si>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</si>
  <si>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</si>
  <si>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</si>
  <si>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</si>
  <si>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</si>
  <si>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</si>
  <si>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</si>
  <si>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</si>
  <si>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</si>
  <si>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</si>
  <si>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</si>
  <si>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</si>
  <si>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</si>
  <si>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</si>
  <si>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</si>
  <si>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</si>
  <si>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</si>
  <si>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</si>
  <si>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</si>
  <si>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</si>
  <si>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</si>
  <si>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</si>
  <si>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</si>
  <si>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</si>
  <si>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</si>
  <si>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</si>
  <si>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</si>
  <si>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</si>
  <si>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</si>
  <si>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</si>
  <si>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</si>
  <si>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</si>
  <si>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</si>
  <si>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</si>
  <si>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</si>
  <si>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</si>
  <si>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</si>
  <si>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</si>
  <si>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</si>
  <si>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</si>
  <si>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</si>
  <si>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</si>
  <si>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</si>
  <si>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</si>
  <si>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</si>
  <si>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</si>
  <si>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</si>
  <si>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</si>
  <si>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</si>
  <si>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</si>
  <si>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</si>
  <si>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</si>
  <si>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</si>
  <si>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</si>
  <si>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</si>
  <si>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</si>
  <si>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</si>
  <si>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</si>
  <si>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</si>
  <si>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</si>
  <si>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</si>
  <si>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</si>
  <si>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</si>
  <si>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</si>
  <si>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</si>
  <si>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</si>
  <si>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</si>
  <si>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</si>
  <si>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</si>
  <si>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</si>
  <si>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</si>
  <si>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</si>
  <si>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</si>
  <si>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</si>
  <si>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</si>
  <si>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</si>
  <si>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</si>
  <si>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</si>
  <si>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</si>
  <si>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</si>
  <si>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</si>
  <si>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</si>
  <si>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</si>
  <si>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</si>
  <si>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</si>
  <si>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</si>
  <si>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</si>
  <si>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</si>
  <si>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</si>
  <si>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</si>
  <si>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</si>
  <si>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</si>
  <si>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</si>
  <si>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</si>
  <si>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</si>
  <si>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</si>
  <si>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</si>
  <si>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</si>
  <si>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</si>
  <si>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</si>
  <si>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</si>
  <si>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</si>
  <si>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</si>
  <si>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</si>
  <si>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</si>
  <si>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</si>
  <si>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</si>
  <si>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</si>
  <si>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</si>
  <si>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</si>
  <si>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</si>
  <si>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</si>
  <si>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</si>
  <si>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</si>
  <si>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</si>
  <si>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</si>
  <si>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</si>
  <si>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</si>
  <si>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</si>
  <si>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</si>
  <si>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</si>
  <si>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</si>
  <si>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</si>
  <si>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</si>
  <si>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</si>
  <si>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</si>
  <si>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</si>
  <si>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</si>
  <si>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</si>
  <si>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</si>
  <si>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</si>
  <si>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</si>
  <si>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</si>
  <si>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</si>
  <si>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</si>
  <si>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</si>
  <si>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</si>
  <si>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</si>
  <si>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</si>
  <si>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</si>
  <si>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</si>
  <si>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</si>
  <si>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</si>
  <si>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</si>
  <si>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</si>
  <si>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</si>
  <si>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</si>
  <si>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</si>
  <si>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</si>
  <si>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</si>
  <si>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</si>
  <si>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</si>
  <si>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</si>
  <si>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</si>
  <si>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</si>
  <si>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</si>
  <si>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</si>
  <si>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</si>
  <si>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</si>
  <si>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</si>
  <si>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</si>
  <si>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</si>
  <si>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</si>
  <si>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</si>
  <si>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</si>
  <si>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</si>
  <si>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</si>
  <si>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</si>
  <si>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</si>
  <si>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</si>
  <si>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</si>
  <si>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</si>
  <si>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</si>
  <si>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</si>
  <si>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</si>
  <si>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</si>
  <si>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</si>
  <si>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</si>
  <si>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</si>
  <si>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</si>
  <si>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</si>
  <si>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</si>
  <si>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</si>
  <si>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</si>
  <si>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</si>
  <si>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</si>
  <si>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</si>
  <si>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</si>
  <si>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</si>
  <si>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</si>
  <si>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</si>
  <si>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</si>
  <si>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</si>
  <si>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</si>
  <si>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</si>
  <si>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</si>
  <si>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</si>
  <si>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</si>
  <si>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</si>
  <si>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</si>
  <si>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</si>
  <si>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</si>
  <si>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</si>
  <si>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</si>
  <si>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</si>
  <si>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</si>
  <si>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</si>
  <si>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</si>
  <si>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</si>
  <si>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</si>
  <si>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</si>
  <si>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</si>
  <si>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</si>
  <si>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</si>
  <si>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</si>
  <si>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</si>
  <si>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</si>
  <si>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</si>
  <si>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</si>
  <si>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</si>
  <si>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</si>
  <si>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</si>
  <si>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</si>
  <si>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</si>
  <si>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</si>
  <si>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</si>
  <si>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</si>
  <si>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</si>
  <si>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</si>
  <si>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</si>
  <si>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</si>
  <si>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</si>
  <si>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</si>
  <si>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</si>
  <si>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</si>
  <si>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</si>
  <si>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</si>
  <si>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</si>
  <si>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</si>
  <si>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</si>
  <si>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</si>
  <si>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</si>
  <si>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</si>
  <si>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</si>
  <si>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</si>
  <si>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</si>
  <si>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</si>
  <si>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</si>
  <si>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</si>
  <si>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</si>
  <si>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</si>
  <si>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</si>
  <si>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</si>
  <si>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</si>
  <si>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</si>
  <si>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</si>
  <si>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</si>
  <si>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</si>
  <si>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</si>
  <si>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</si>
  <si>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</si>
  <si>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</si>
  <si>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</si>
  <si>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</si>
  <si>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</si>
  <si>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</si>
  <si>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</si>
  <si>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</si>
  <si>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</si>
  <si>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</si>
  <si>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</si>
  <si>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</si>
  <si>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</si>
  <si>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</si>
  <si>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</si>
  <si>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</si>
  <si>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</si>
  <si>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</si>
  <si>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</si>
  <si>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</si>
  <si>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</si>
  <si>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</si>
  <si>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</si>
  <si>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</si>
  <si>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</si>
  <si>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</si>
  <si>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</si>
  <si>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</si>
  <si>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</si>
  <si>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</si>
  <si>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</si>
  <si>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</si>
  <si>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</si>
  <si>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</si>
  <si>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</si>
  <si>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</si>
  <si>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</si>
  <si>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</si>
  <si>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</si>
  <si>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</si>
  <si>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</si>
  <si>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</si>
  <si>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</si>
  <si>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</si>
  <si>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</si>
  <si>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</si>
  <si>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</si>
  <si>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</si>
  <si>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</si>
  <si>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</si>
  <si>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</si>
  <si>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</si>
  <si>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</si>
  <si>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</si>
  <si>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</si>
  <si>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</si>
  <si>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</si>
  <si>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</si>
  <si>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</si>
  <si>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</si>
  <si>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</si>
  <si>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</si>
  <si>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</si>
  <si>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</si>
  <si>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</si>
  <si>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</si>
  <si>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</si>
  <si>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</si>
  <si>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</si>
  <si>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</si>
  <si>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</si>
  <si>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</si>
  <si>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</si>
  <si>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</si>
  <si>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</si>
  <si>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</si>
  <si>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</si>
  <si>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</si>
  <si>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</si>
  <si>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</si>
  <si>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</si>
  <si>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</si>
  <si>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</si>
  <si>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</si>
  <si>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</si>
  <si>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</si>
  <si>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</si>
  <si>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</si>
  <si>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</si>
  <si>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</si>
  <si>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</si>
  <si>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</si>
  <si>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</si>
  <si>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</si>
  <si>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</si>
  <si>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</si>
  <si>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</si>
  <si>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</si>
  <si>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</si>
  <si>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</si>
  <si>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</si>
  <si>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</si>
  <si>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</si>
  <si>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</si>
  <si>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</si>
  <si>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</si>
  <si>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</si>
  <si>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</si>
  <si>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</si>
  <si>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</si>
  <si>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</si>
  <si>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</si>
  <si>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</si>
  <si>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</si>
  <si>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</si>
  <si>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</si>
  <si>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</si>
  <si>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</si>
  <si>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</si>
  <si>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</si>
  <si>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</si>
  <si>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</si>
  <si>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</si>
  <si>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</si>
  <si>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</si>
  <si>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</si>
  <si>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</si>
  <si>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</si>
  <si>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</si>
  <si>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</si>
  <si>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</si>
  <si>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</si>
  <si>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</si>
  <si>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</si>
  <si>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</si>
  <si>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</si>
  <si>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</si>
  <si>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</si>
  <si>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</si>
  <si>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</si>
  <si>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</si>
  <si>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</si>
  <si>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</si>
  <si>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</si>
  <si>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</si>
  <si>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</si>
  <si>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</si>
  <si>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</si>
  <si>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</si>
  <si>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</si>
  <si>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</si>
  <si>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</si>
  <si>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</si>
  <si>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</si>
  <si>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</si>
  <si>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</si>
  <si>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</si>
  <si>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</si>
  <si>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</si>
  <si>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</si>
  <si>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</si>
  <si>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</si>
  <si>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</si>
  <si>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</si>
  <si>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</si>
  <si>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</si>
  <si>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</si>
  <si>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</si>
  <si>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</si>
  <si>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</si>
  <si>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</si>
  <si>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</si>
  <si>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</si>
  <si>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</si>
  <si>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</si>
  <si>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</si>
  <si>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</si>
  <si>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</si>
  <si>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</si>
  <si>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</si>
  <si>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</si>
  <si>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</si>
  <si>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</si>
  <si>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</si>
  <si>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</si>
  <si>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</si>
  <si>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</si>
  <si>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</si>
  <si>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</si>
  <si>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</si>
  <si>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</si>
  <si>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</si>
  <si>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</si>
  <si>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</si>
  <si>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</si>
  <si>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</si>
  <si>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</si>
  <si>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</si>
  <si>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</si>
  <si>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</si>
  <si>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</si>
  <si>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</si>
  <si>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</si>
  <si>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</si>
  <si>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</si>
  <si>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</si>
  <si>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</si>
  <si>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</si>
  <si>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</si>
  <si>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</si>
  <si>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</si>
  <si>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</si>
  <si>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</si>
  <si>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</si>
  <si>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</si>
  <si>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</si>
  <si>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</si>
  <si>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</si>
  <si>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</si>
  <si>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</si>
  <si>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</si>
  <si>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</si>
  <si>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</si>
  <si>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</si>
  <si>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</si>
  <si>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</si>
  <si>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</si>
  <si>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</si>
  <si>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</si>
  <si>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</si>
  <si>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</si>
  <si>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</si>
  <si>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</si>
  <si>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</si>
  <si>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</si>
  <si>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</si>
  <si>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</si>
  <si>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</si>
  <si>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</si>
  <si>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</si>
  <si>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</si>
  <si>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</si>
  <si>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</si>
  <si>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</si>
  <si>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</si>
  <si>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</si>
  <si>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</si>
  <si>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</si>
  <si>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</si>
  <si>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</si>
  <si>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</si>
  <si>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</si>
  <si>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</si>
  <si>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</si>
  <si>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</si>
  <si>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</si>
  <si>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</si>
  <si>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</si>
  <si>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</si>
  <si>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</si>
  <si>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</si>
  <si>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</si>
  <si>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</si>
  <si>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</si>
  <si>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</si>
  <si>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</si>
  <si>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</si>
  <si>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</si>
  <si>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</si>
  <si>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</si>
  <si>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</si>
  <si>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</si>
  <si>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</si>
  <si>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</si>
  <si>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</si>
  <si>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</si>
  <si>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</si>
  <si>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</si>
  <si>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</si>
  <si>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</si>
  <si>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</si>
  <si>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</si>
  <si>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</si>
  <si>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</si>
  <si>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</si>
  <si>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</si>
  <si>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</si>
  <si>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</si>
  <si>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</si>
  <si>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</si>
  <si>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</si>
  <si>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</si>
  <si>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</si>
  <si>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</si>
  <si>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</si>
  <si>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</si>
  <si>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</si>
  <si>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</si>
  <si>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</si>
  <si>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</si>
  <si>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</si>
  <si>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</si>
  <si>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</si>
  <si>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</si>
  <si>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</si>
  <si>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</si>
  <si>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</si>
  <si>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</si>
  <si>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</si>
  <si>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</si>
  <si>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</si>
  <si>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</si>
  <si>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</si>
  <si>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</si>
  <si>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</si>
  <si>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</si>
  <si>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</si>
  <si>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</si>
  <si>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</si>
  <si>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</si>
  <si>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</si>
  <si>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</si>
  <si>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</si>
  <si>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</si>
  <si>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</si>
  <si>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</si>
  <si>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</si>
  <si>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</si>
  <si>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</si>
  <si>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</si>
  <si>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</si>
  <si>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</si>
  <si>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</si>
  <si>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</si>
  <si>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</si>
  <si>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</si>
  <si>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</si>
  <si>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</si>
  <si>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</si>
  <si>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</si>
  <si>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</si>
  <si>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</si>
  <si>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</si>
  <si>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</si>
  <si>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</si>
  <si>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</si>
  <si>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</si>
  <si>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</si>
  <si>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</si>
  <si>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</si>
  <si>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</si>
  <si>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</si>
  <si>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</si>
  <si>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</si>
  <si>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</si>
  <si>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</si>
  <si>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</si>
  <si>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</si>
  <si>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</si>
  <si>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</si>
  <si>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</si>
  <si>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</si>
  <si>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time 2 Weglage 1999; time 1 is Weglage 1996</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</si>
  <si>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</si>
  <si>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</si>
  <si>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</si>
  <si>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</si>
  <si>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</si>
  <si>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</si>
  <si>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</si>
  <si>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</si>
  <si>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</si>
  <si>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</si>
  <si>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</si>
  <si>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</si>
  <si>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</si>
  <si>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</si>
  <si>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</si>
  <si>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</si>
  <si>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</si>
  <si>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</si>
  <si>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</si>
  <si>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</si>
  <si>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</si>
  <si>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</si>
  <si>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</si>
  <si>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</si>
  <si>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</si>
  <si>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</si>
  <si>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</si>
  <si>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</si>
  <si>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</si>
  <si>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</si>
  <si>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</si>
  <si>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</si>
  <si>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</si>
  <si>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</si>
  <si>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</si>
  <si>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</si>
  <si>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</si>
  <si>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</si>
  <si>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</si>
  <si>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</si>
  <si>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</si>
  <si>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</si>
  <si>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</si>
  <si>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</si>
  <si>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</si>
  <si>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</si>
  <si>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</si>
  <si>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</si>
  <si>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</si>
  <si>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</si>
  <si>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</si>
  <si>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</si>
  <si>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</si>
  <si>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</si>
  <si>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</si>
  <si>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</si>
  <si>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</si>
  <si>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</si>
  <si>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</si>
  <si>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</si>
  <si>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</si>
  <si>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</si>
  <si>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</si>
  <si>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</si>
  <si>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</si>
  <si>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</si>
  <si>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</si>
  <si>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</si>
  <si>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</si>
  <si>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</si>
  <si>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</si>
  <si>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</si>
  <si>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</si>
  <si>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</si>
  <si>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</si>
  <si>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</si>
  <si>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</si>
  <si>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</si>
  <si>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</si>
  <si>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</si>
  <si>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</si>
  <si>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</si>
  <si>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</si>
  <si>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</si>
  <si>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</si>
  <si>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</si>
  <si>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</si>
  <si>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</si>
  <si>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</si>
  <si>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</si>
  <si>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</si>
  <si>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</si>
  <si>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</si>
  <si>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</si>
  <si>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</si>
  <si>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</si>
  <si>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</si>
  <si>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</si>
  <si>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</si>
  <si>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</si>
  <si>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</si>
  <si>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</si>
  <si>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</si>
  <si>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</si>
  <si>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</si>
  <si>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</si>
  <si>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</si>
  <si>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</si>
  <si>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</si>
  <si>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</si>
  <si>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</si>
  <si>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</si>
  <si>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</si>
  <si>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</si>
  <si>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</si>
  <si>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</si>
  <si>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</si>
  <si>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</si>
  <si>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</si>
  <si>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</si>
  <si>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</si>
  <si>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</si>
  <si>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</si>
  <si>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</si>
  <si>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</si>
  <si>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</si>
  <si>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</si>
  <si>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</si>
  <si>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</si>
  <si>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</si>
  <si>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</si>
  <si>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</si>
  <si>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</si>
  <si>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</si>
  <si>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</si>
  <si>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</si>
  <si>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</si>
  <si>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</si>
  <si>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</si>
  <si>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</si>
  <si>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</si>
  <si>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</si>
  <si>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</si>
  <si>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</si>
  <si>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</si>
  <si>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</si>
  <si>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</si>
  <si>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</si>
  <si>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</si>
  <si>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</si>
  <si>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</si>
  <si>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</si>
  <si>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</si>
  <si>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</si>
  <si>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</si>
  <si>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</si>
  <si>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</si>
  <si>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</si>
  <si>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</si>
  <si>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</si>
  <si>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</si>
  <si>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</si>
  <si>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</si>
  <si>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</si>
  <si>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</si>
  <si>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</si>
  <si>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</si>
  <si>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</si>
  <si>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</si>
  <si>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</si>
  <si>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</si>
  <si>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</si>
  <si>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</si>
  <si>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</si>
  <si>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</si>
  <si>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</si>
  <si>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</si>
  <si>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</si>
  <si>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</si>
  <si>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</si>
  <si>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</si>
  <si>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</si>
  <si>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</si>
  <si>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</si>
  <si>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</si>
  <si>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</si>
  <si>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</si>
  <si>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</si>
  <si>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</si>
  <si>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</si>
  <si>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</si>
  <si>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</si>
  <si>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</si>
  <si>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</si>
  <si>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</si>
  <si>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</si>
  <si>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</si>
  <si>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</si>
  <si>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</si>
  <si>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</si>
  <si>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</si>
  <si>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</si>
  <si>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</si>
  <si>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</si>
  <si>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</si>
  <si>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</si>
  <si>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</si>
  <si>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</si>
  <si>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</si>
  <si>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</si>
  <si>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</si>
  <si>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</si>
  <si>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</si>
  <si>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</si>
  <si>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</si>
  <si>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</si>
  <si>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</si>
  <si>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</si>
  <si>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</si>
  <si>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</si>
  <si>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</si>
  <si>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</si>
  <si>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</si>
  <si>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</si>
  <si>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</si>
  <si>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</si>
  <si>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</si>
  <si>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</si>
  <si>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</si>
  <si>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</si>
  <si>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</si>
  <si>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</si>
  <si>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</si>
  <si>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</si>
  <si>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</si>
  <si>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</si>
  <si>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</si>
  <si>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</si>
  <si>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</si>
  <si>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</si>
  <si>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</si>
  <si>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</si>
  <si>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</si>
  <si>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</si>
  <si>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</si>
  <si>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</si>
  <si>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</si>
  <si>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</si>
  <si>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</si>
  <si>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</si>
  <si>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</si>
  <si>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</si>
  <si>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</si>
  <si>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</si>
  <si>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</si>
  <si>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</si>
  <si>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</si>
  <si>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</si>
  <si>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</si>
  <si>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</si>
  <si>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</si>
  <si>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</si>
  <si>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</si>
  <si>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</si>
  <si>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</si>
  <si>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</si>
  <si>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</si>
  <si>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</si>
  <si>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</si>
  <si>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</si>
  <si>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</si>
  <si>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</si>
  <si>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</si>
  <si>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</si>
  <si>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</si>
  <si>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</si>
  <si>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</si>
  <si>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</si>
  <si>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</si>
  <si>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</si>
  <si>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</si>
  <si>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</si>
  <si>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</si>
  <si>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</si>
  <si>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</si>
  <si>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</si>
  <si>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</si>
  <si>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</si>
  <si>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</si>
  <si>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</si>
  <si>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</si>
  <si>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</si>
  <si>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</si>
  <si>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</si>
  <si>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</si>
  <si>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</si>
  <si>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</si>
  <si>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</si>
  <si>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</si>
  <si>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</si>
  <si>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</si>
  <si>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</si>
  <si>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</si>
  <si>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</si>
  <si>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</si>
  <si>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</si>
  <si>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</si>
  <si>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</si>
  <si>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</si>
  <si>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</si>
  <si>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</si>
  <si>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</si>
  <si>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</si>
  <si>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</si>
  <si>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</si>
  <si>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</si>
  <si>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</si>
  <si>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</si>
  <si>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</si>
  <si>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</si>
  <si>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</si>
  <si>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</si>
  <si>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</si>
  <si>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</si>
  <si>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</si>
  <si>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</si>
  <si>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</si>
  <si>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</si>
  <si>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</si>
  <si>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</si>
  <si>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</si>
  <si>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</si>
  <si>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</si>
  <si>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</si>
  <si>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</si>
  <si>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</si>
  <si>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</si>
  <si>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</si>
  <si>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</si>
  <si>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</si>
  <si>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</si>
  <si>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</si>
  <si>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</si>
  <si>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</si>
  <si>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</si>
  <si>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</si>
  <si>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</si>
  <si>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</si>
  <si>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</si>
  <si>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</si>
  <si>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</si>
  <si>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</si>
  <si>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</si>
  <si>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</si>
  <si>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</si>
  <si>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</si>
  <si>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</si>
  <si>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</si>
  <si>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</si>
  <si>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</si>
  <si>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</si>
  <si>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</si>
  <si>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</si>
  <si>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</si>
  <si>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</si>
  <si>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</si>
  <si>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</si>
  <si>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</si>
  <si>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</si>
  <si>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</si>
  <si>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</si>
  <si>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</si>
  <si>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</si>
  <si>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</si>
  <si>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</si>
  <si>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</si>
  <si>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</si>
  <si>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</si>
  <si>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</si>
  <si>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</si>
  <si>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</si>
  <si>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</si>
  <si>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</si>
  <si>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</si>
  <si>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</si>
  <si>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</si>
  <si>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</si>
  <si>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</si>
  <si>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</si>
  <si>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</si>
  <si>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</si>
  <si>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</si>
  <si>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</si>
  <si>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</si>
  <si>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</si>
  <si>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</si>
  <si>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</si>
  <si>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</si>
  <si>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</si>
  <si>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</si>
  <si>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</si>
  <si>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</si>
  <si>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</si>
  <si>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</si>
  <si>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</si>
  <si>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</si>
  <si>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</si>
  <si>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</si>
  <si>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</si>
  <si>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</si>
  <si>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</si>
  <si>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</si>
  <si>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</si>
  <si>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</si>
  <si>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</si>
  <si>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</si>
  <si>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</si>
  <si>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</si>
  <si>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</si>
  <si>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</si>
  <si>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</si>
  <si>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</si>
  <si>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</si>
  <si>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</si>
  <si>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</si>
  <si>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</si>
  <si>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</si>
  <si>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</si>
  <si>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</si>
  <si>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</si>
  <si>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</si>
  <si>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</si>
  <si>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</si>
  <si>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</si>
  <si>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</si>
  <si>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</si>
  <si>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</si>
  <si>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</si>
  <si>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</si>
  <si>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</si>
  <si>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</si>
  <si>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</si>
  <si>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</si>
  <si>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</si>
  <si>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</si>
  <si>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</si>
  <si>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</si>
  <si>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</si>
  <si>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</si>
  <si>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</si>
  <si>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</si>
  <si>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</si>
  <si>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</si>
  <si>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</si>
  <si>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</si>
  <si>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</si>
  <si>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</si>
  <si>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</si>
  <si>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</si>
  <si>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</si>
  <si>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</si>
  <si>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</si>
  <si>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</si>
  <si>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</si>
  <si>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</si>
  <si>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</si>
  <si>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</si>
  <si>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</si>
  <si>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</si>
  <si>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</si>
  <si>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</si>
  <si>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</si>
  <si>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</si>
  <si>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</si>
  <si>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</si>
  <si>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</si>
  <si>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</si>
  <si>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</si>
  <si>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</si>
  <si>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</si>
  <si>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</si>
  <si>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</si>
  <si>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</si>
  <si>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</si>
  <si>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</si>
  <si>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</si>
  <si>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</si>
  <si>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</si>
  <si>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</si>
  <si>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</si>
  <si>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</si>
  <si>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</si>
  <si>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</si>
  <si>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</si>
  <si>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</si>
  <si>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</si>
  <si>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</si>
  <si>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</si>
  <si>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</si>
  <si>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</si>
  <si>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</si>
  <si>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</si>
  <si>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</si>
  <si>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</si>
  <si>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</si>
  <si>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</si>
  <si>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</si>
  <si>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</si>
  <si>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</si>
  <si>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</si>
  <si>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</si>
  <si>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</si>
  <si>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</si>
  <si>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</si>
  <si>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</si>
  <si>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</si>
  <si>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</si>
  <si>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</si>
  <si>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</si>
  <si>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</si>
  <si>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</si>
  <si>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</si>
  <si>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</si>
  <si>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</si>
  <si>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</si>
  <si>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</si>
  <si>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</si>
  <si>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</si>
  <si>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</si>
  <si>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</si>
  <si>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</si>
  <si>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</si>
  <si>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</si>
  <si>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</si>
  <si>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</si>
  <si>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</si>
  <si>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</si>
  <si>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</si>
  <si>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</si>
  <si>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</si>
  <si>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</si>
  <si>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</si>
  <si>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</si>
  <si>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</si>
  <si>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</si>
  <si>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</si>
  <si>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</si>
  <si>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</si>
  <si>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</si>
  <si>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</si>
  <si>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</si>
  <si>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</si>
  <si>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</si>
  <si>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</si>
  <si>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</si>
  <si>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</si>
  <si>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</si>
  <si>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</si>
  <si>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</si>
  <si>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</si>
  <si>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</si>
  <si>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</si>
  <si>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</si>
  <si>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</si>
  <si>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</si>
  <si>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</si>
  <si>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</si>
  <si>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</si>
  <si>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</si>
  <si>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</si>
  <si>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</si>
  <si>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</si>
  <si>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</si>
  <si>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</si>
  <si>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</si>
  <si>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</si>
  <si>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</si>
  <si>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</si>
  <si>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</si>
  <si>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</si>
  <si>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</si>
  <si>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</si>
  <si>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</si>
  <si>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</si>
  <si>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</si>
  <si>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</si>
  <si>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</si>
  <si>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</si>
  <si>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</si>
  <si>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</si>
  <si>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</si>
  <si>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</si>
  <si>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</si>
  <si>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</si>
  <si>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</si>
  <si>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</si>
  <si>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</si>
  <si>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</si>
  <si>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</si>
  <si>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</si>
  <si>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</si>
  <si>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</si>
  <si>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</si>
  <si>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</si>
  <si>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</si>
  <si>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</si>
  <si>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</si>
  <si>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</si>
  <si>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</si>
  <si>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</si>
  <si>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</si>
  <si>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</si>
  <si>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</si>
  <si>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</si>
  <si>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</si>
  <si>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</si>
  <si>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</si>
  <si>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</si>
  <si>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</si>
  <si>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</si>
  <si>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</si>
  <si>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</si>
  <si>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</si>
  <si>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</si>
  <si>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</si>
  <si>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</si>
  <si>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</si>
  <si>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</si>
  <si>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</si>
  <si>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</si>
  <si>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</si>
  <si>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</si>
  <si>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</si>
  <si>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</si>
  <si>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</si>
  <si>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</si>
  <si>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</si>
  <si>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</si>
  <si>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</si>
  <si>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</si>
  <si>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</si>
  <si>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</si>
  <si>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</si>
  <si>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</si>
  <si>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</si>
  <si>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</si>
  <si>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</si>
  <si>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</si>
  <si>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</si>
  <si>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</si>
  <si>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</si>
  <si>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</si>
  <si>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</si>
  <si>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</si>
  <si>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</si>
  <si>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</si>
  <si>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</si>
  <si>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</si>
  <si>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</si>
  <si>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</si>
  <si>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</si>
  <si>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</si>
  <si>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</si>
  <si>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</si>
  <si>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</si>
  <si>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</si>
  <si>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</si>
  <si>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</si>
  <si>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</si>
  <si>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</si>
  <si>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</si>
  <si>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</si>
  <si>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</si>
  <si>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</si>
  <si>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</si>
  <si>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</si>
  <si>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</si>
  <si>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</si>
  <si>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</si>
  <si>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</si>
  <si>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</si>
  <si>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</si>
  <si>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</si>
  <si>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</si>
  <si>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</si>
  <si>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</si>
  <si>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</si>
  <si>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</si>
  <si>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</si>
  <si>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</si>
  <si>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</si>
  <si>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</si>
  <si>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</si>
  <si>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</si>
  <si>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</si>
  <si>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</si>
  <si>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</si>
  <si>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</si>
  <si>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</si>
  <si>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</si>
  <si>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</si>
  <si>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</si>
  <si>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</si>
  <si>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</si>
  <si>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</si>
  <si>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</si>
  <si>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</si>
  <si>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</si>
  <si>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</si>
  <si>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</si>
  <si>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</si>
  <si>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</si>
  <si>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</si>
  <si>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</si>
  <si>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</si>
  <si>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</si>
  <si>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</si>
  <si>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</si>
  <si>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</si>
  <si>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</si>
  <si>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</si>
  <si>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</si>
  <si>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</si>
  <si>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</si>
  <si>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</si>
  <si>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</si>
  <si>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</si>
  <si>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</si>
  <si>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</si>
  <si>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</si>
  <si>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</si>
  <si>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</si>
  <si>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</si>
  <si>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</si>
  <si>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</si>
  <si>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</si>
  <si>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</si>
  <si>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</si>
  <si>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</si>
  <si>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</si>
  <si>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</si>
  <si>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</si>
  <si>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</si>
  <si>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</si>
  <si>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</si>
  <si>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</si>
  <si>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</si>
  <si>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</si>
  <si>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</si>
  <si>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</si>
  <si>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</si>
  <si>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</si>
  <si>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</si>
  <si>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</si>
  <si>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</si>
  <si>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</si>
  <si>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</si>
  <si>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</si>
  <si>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</si>
  <si>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</si>
  <si>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</si>
  <si>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</si>
  <si>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</si>
  <si>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</si>
  <si>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</si>
  <si>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</si>
  <si>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</si>
  <si>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</si>
  <si>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</si>
  <si>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</si>
  <si>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</si>
  <si>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</si>
  <si>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</si>
  <si>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</si>
  <si>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</si>
  <si>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</si>
  <si>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</si>
  <si>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</si>
  <si>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</si>
  <si>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</si>
  <si>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</si>
  <si>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</si>
  <si>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</si>
  <si>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</si>
  <si>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</si>
  <si>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</si>
  <si>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</si>
  <si>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</si>
  <si>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</si>
  <si>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</si>
  <si>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</si>
  <si>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</si>
  <si>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</si>
  <si>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</si>
  <si>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</si>
  <si>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</si>
  <si>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</si>
  <si>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</si>
  <si>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</si>
  <si>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</si>
  <si>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</si>
  <si>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</si>
  <si>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</si>
  <si>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</si>
  <si>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</si>
  <si>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</si>
  <si>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</si>
  <si>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</si>
  <si>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</si>
  <si>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</si>
  <si>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</si>
  <si>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</si>
  <si>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</si>
  <si>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</si>
  <si>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</si>
  <si>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</si>
  <si>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</si>
  <si>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</si>
  <si>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</si>
  <si>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</si>
  <si>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</si>
  <si>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</si>
  <si>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</si>
  <si>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</si>
  <si>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</si>
  <si>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</si>
  <si>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</si>
  <si>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</si>
  <si>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</si>
  <si>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</si>
  <si>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</si>
  <si>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</si>
  <si>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</si>
  <si>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</si>
  <si>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</si>
  <si>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</si>
  <si>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</si>
  <si>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</si>
  <si>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</si>
  <si>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</si>
  <si>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</si>
  <si>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</si>
  <si>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</si>
  <si>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</si>
  <si>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</si>
  <si>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</si>
  <si>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</si>
  <si>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</si>
  <si>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</si>
  <si>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</si>
  <si>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</si>
  <si>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</si>
  <si>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</si>
  <si>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</si>
  <si>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</si>
  <si>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</si>
  <si>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</si>
  <si>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</si>
  <si>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</si>
  <si>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</si>
  <si>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</si>
  <si>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</si>
  <si>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</si>
  <si>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</si>
  <si>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</si>
  <si>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</si>
  <si>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</si>
  <si>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</si>
  <si>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</si>
  <si>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</si>
  <si>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</si>
  <si>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</si>
  <si>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</si>
  <si>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</si>
  <si>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</si>
  <si>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</si>
  <si>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</si>
  <si>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</si>
  <si>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</si>
  <si>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</si>
  <si>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</si>
  <si>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</si>
  <si>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</si>
  <si>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</si>
  <si>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</si>
  <si>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</si>
  <si>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</si>
  <si>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</si>
  <si>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</si>
  <si>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</si>
  <si>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</si>
  <si>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</si>
  <si>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</si>
  <si>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</si>
  <si>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</si>
  <si>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</si>
  <si>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</si>
  <si>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</si>
  <si>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</si>
  <si>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</si>
  <si>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</si>
  <si>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</si>
  <si>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</si>
  <si>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</si>
  <si>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</si>
  <si>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</si>
  <si>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</si>
  <si>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</si>
  <si>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</si>
  <si>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</si>
  <si>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</si>
  <si>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</si>
  <si>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</si>
  <si>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</si>
  <si>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</si>
  <si>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</si>
  <si>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</si>
  <si>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</si>
  <si>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</si>
  <si>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</si>
  <si>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</si>
  <si>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</si>
  <si>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</si>
  <si>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</si>
  <si>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</si>
  <si>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</si>
  <si>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</si>
  <si>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</si>
  <si>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</si>
  <si>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</si>
  <si>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</si>
  <si>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</si>
  <si>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</si>
  <si>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</si>
  <si>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</si>
  <si>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</si>
  <si>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</si>
  <si>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</si>
  <si>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</si>
  <si>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</si>
  <si>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</si>
  <si>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</si>
  <si>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</si>
  <si>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</si>
  <si>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</si>
  <si>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</si>
  <si>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</si>
  <si>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</si>
  <si>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</si>
  <si>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</si>
  <si>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</si>
  <si>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</si>
  <si>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</si>
  <si>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</si>
  <si>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</si>
  <si>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</si>
  <si>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</si>
  <si>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</si>
  <si>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</si>
  <si>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</si>
  <si>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</si>
  <si>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</si>
  <si>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</si>
  <si>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</si>
  <si>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</si>
  <si>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</si>
  <si>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</si>
  <si>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</si>
  <si>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</si>
  <si>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</si>
  <si>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</si>
  <si>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</si>
  <si>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</si>
  <si>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</si>
  <si>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</si>
  <si>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</si>
  <si>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</si>
  <si>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</si>
  <si>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</si>
  <si>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</si>
  <si>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</si>
  <si>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</si>
  <si>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</si>
  <si>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</si>
  <si>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</si>
  <si>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</si>
  <si>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</si>
  <si>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</si>
  <si>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</si>
  <si>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</si>
  <si>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</si>
  <si>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</si>
  <si>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</si>
  <si>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</si>
  <si>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</si>
  <si>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</si>
  <si>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</si>
  <si>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</si>
  <si>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</si>
  <si>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</si>
  <si>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</si>
  <si>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</si>
  <si>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</si>
  <si>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</si>
  <si>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</si>
  <si>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</si>
  <si>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</si>
  <si>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</si>
  <si>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</si>
  <si>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</si>
  <si>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</si>
  <si>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</si>
  <si>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</si>
  <si>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</si>
  <si>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</si>
  <si>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</si>
  <si>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</si>
  <si>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</si>
  <si>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</si>
  <si>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</si>
  <si>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</si>
  <si>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</si>
  <si>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</si>
  <si>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</si>
  <si>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</si>
  <si>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</si>
  <si>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</si>
  <si>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</si>
  <si>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</si>
  <si>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</si>
  <si>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</si>
  <si>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</si>
  <si>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</si>
  <si>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</si>
  <si>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</si>
  <si>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</si>
  <si>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</si>
  <si>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</si>
  <si>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</si>
  <si>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</si>
  <si>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</si>
  <si>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</si>
  <si>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</si>
  <si>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</si>
  <si>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</si>
  <si>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</si>
  <si>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</si>
  <si>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</si>
  <si>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</si>
  <si>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</si>
  <si>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</si>
  <si>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</si>
  <si>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</si>
  <si>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</si>
  <si>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</si>
  <si>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</si>
  <si>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</si>
  <si>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</si>
  <si>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</si>
  <si>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</si>
  <si>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</si>
  <si>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</si>
  <si>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</si>
  <si>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</si>
  <si>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</si>
  <si>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</si>
  <si>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</si>
  <si>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</si>
  <si>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</si>
  <si>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</si>
  <si>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</si>
  <si>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</si>
  <si>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</si>
  <si>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</si>
  <si>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</si>
  <si>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</si>
  <si>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</si>
  <si>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</si>
  <si>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</si>
  <si>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</si>
  <si>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</si>
  <si>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</si>
  <si>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</si>
  <si>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</si>
  <si>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</si>
  <si>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</si>
  <si>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</si>
  <si>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</si>
  <si>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</si>
  <si>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</si>
  <si>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</si>
  <si>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</si>
  <si>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</si>
  <si>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</si>
  <si>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</si>
  <si>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</si>
  <si>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</si>
  <si>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</si>
  <si>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</si>
  <si>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</si>
  <si>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</si>
  <si>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</si>
  <si>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</si>
  <si>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</si>
  <si>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</si>
  <si>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</si>
  <si>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</si>
  <si>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</si>
  <si>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</si>
  <si>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</si>
  <si>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</si>
  <si>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</si>
  <si>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</si>
  <si>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</si>
  <si>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</si>
  <si>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</si>
  <si>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</si>
  <si>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</si>
  <si>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</si>
  <si>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</si>
  <si>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</si>
  <si>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</si>
  <si>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</si>
  <si>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</si>
  <si>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</si>
  <si>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</si>
  <si>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</si>
  <si>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</si>
  <si>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</si>
  <si>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</si>
  <si>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</si>
  <si>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</si>
  <si>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</si>
  <si>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</si>
  <si>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</si>
  <si>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</si>
  <si>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</si>
  <si>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</si>
  <si>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</si>
  <si>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</si>
  <si>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</si>
  <si>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</si>
  <si>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</si>
  <si>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</si>
  <si>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</si>
  <si>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</si>
  <si>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</si>
  <si>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</si>
  <si>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</si>
  <si>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</si>
  <si>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</si>
  <si>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</si>
  <si>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</si>
  <si>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</si>
  <si>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</si>
  <si>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</si>
  <si>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</si>
  <si>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</si>
  <si>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</si>
  <si>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</si>
  <si>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</si>
  <si>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</si>
  <si>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</si>
  <si>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</si>
  <si>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</si>
  <si>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</si>
  <si>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</si>
  <si>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</si>
  <si>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</si>
  <si>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</si>
  <si>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</si>
  <si>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</si>
  <si>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</si>
  <si>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</si>
  <si>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</si>
  <si>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</si>
  <si>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</si>
  <si>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</si>
  <si>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</si>
  <si>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</si>
  <si>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</si>
  <si>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</si>
  <si>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</si>
  <si>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</si>
  <si>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</si>
  <si>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</si>
  <si>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</si>
  <si>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 xml:space="preserve">Same PKU group </t>
  </si>
  <si>
    <t xml:space="preserve">not on diet </t>
  </si>
  <si>
    <t>"Note: raw scores or t-score?</t>
  </si>
  <si>
    <t>10 on diet; 9 untill 18</t>
  </si>
  <si>
    <t>ADULTS</t>
  </si>
  <si>
    <t>CHILDREN</t>
  </si>
  <si>
    <t>MIXED AGE</t>
  </si>
  <si>
    <t>&lt;3 weeks</t>
  </si>
  <si>
    <t>&lt;6 weeks</t>
  </si>
  <si>
    <t>Higher Phe group</t>
  </si>
  <si>
    <t>same as 1996 but older</t>
  </si>
  <si>
    <t>ADULT AVERAGE</t>
  </si>
  <si>
    <t>CHILD AVERAGE</t>
  </si>
  <si>
    <t>MIXED AGE AVERAGE</t>
  </si>
  <si>
    <t>Adult studies; age of participants &gt;16 years old</t>
  </si>
  <si>
    <t>Mixed studies: mean avrage age 12-20</t>
  </si>
  <si>
    <t>OVEALL AVERAGE</t>
  </si>
  <si>
    <t>&lt;30 days</t>
  </si>
  <si>
    <t>median 15 days (range 12-20)</t>
  </si>
  <si>
    <t>mean 33.1 days (range 15^61).</t>
  </si>
  <si>
    <t xml:space="preserve"> average 3 weeks</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</si>
  <si>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</si>
  <si>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</si>
  <si>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 xml:space="preserve">Supplementary materials 1: Demographic of studies included in the meta-analyses </t>
  </si>
  <si>
    <t>EF-Inhibitory control-baseline; Language accuracy</t>
  </si>
  <si>
    <t>EF-Inhibitory control-baseline; Language speed</t>
  </si>
  <si>
    <t>Palermo et al 2017/2020; De Felice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</si>
</sst>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718">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0" fontId="1" fillId="0" borderId="1" xfId="0" applyFont="1" applyBorder="1" applyAlignment="1">
      <alignment horizontal="center" wrapText="1"/>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2" fontId="2" fillId="0" borderId="0" xfId="0" applyNumberFormat="1" applyFont="1" applyAlignment="1">
      <alignment horizontal="left"/>
    </xf>
    <xf numFmtId="165" fontId="42" fillId="0" borderId="0" xfId="0" applyNumberFormat="1" applyFont="1" applyAlignment="1">
      <alignment horizontal="center"/>
    </xf>
    <xf numFmtId="165" fontId="6" fillId="0" borderId="0" xfId="0" applyNumberFormat="1" applyFont="1" applyAlignment="1">
      <alignment horizontal="center"/>
    </xf>
    <xf numFmtId="165" fontId="6" fillId="0" borderId="0" xfId="0" applyNumberFormat="1" applyFont="1" applyAlignment="1">
      <alignment horizontal="center" wrapText="1"/>
    </xf>
    <xf numFmtId="165" fontId="42" fillId="0" borderId="0" xfId="0" applyNumberFormat="1" applyFont="1" applyAlignment="1">
      <alignment horizontal="center" wrapText="1"/>
    </xf>
    <xf numFmtId="0" fontId="2" fillId="16" borderId="0" xfId="0" applyFont="1" applyFill="1" applyAlignment="1">
      <alignment horizontal="center" wrapText="1"/>
    </xf>
    <xf numFmtId="2" fontId="2" fillId="0" borderId="0" xfId="0" applyNumberFormat="1" applyFont="1" applyAlignment="1">
      <alignment horizontal="left"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wrapText="1"/>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33" fillId="0" borderId="0" xfId="0" applyFont="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0" fontId="65" fillId="0" borderId="0" xfId="0" applyFont="1" applyAlignment="1">
      <alignment horizontal="center" vertical="center"/>
    </xf>
    <xf numFmtId="16" fontId="0" fillId="0" borderId="0" xfId="0" quotePrefix="1" applyNumberFormat="1" applyAlignment="1">
      <alignment horizontal="center" vertical="center"/>
    </xf>
    <xf numFmtId="164" fontId="2" fillId="0" borderId="0" xfId="0" applyNumberFormat="1" applyFont="1" applyAlignment="1">
      <alignment horizontal="center" vertical="center"/>
    </xf>
    <xf numFmtId="164" fontId="42" fillId="0" borderId="5" xfId="0" applyNumberFormat="1" applyFont="1" applyBorder="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0" fontId="31" fillId="29" borderId="0" xfId="0" applyFont="1" applyFill="1" applyAlignment="1">
      <alignment horizontal="center" vertical="center" wrapText="1"/>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1" fillId="3" borderId="0" xfId="0" applyFont="1" applyFill="1" applyAlignment="1">
      <alignment horizontal="center" vertical="center" wrapText="1"/>
    </xf>
    <xf numFmtId="0" fontId="31" fillId="0" borderId="0" xfId="0" applyFont="1" applyAlignment="1">
      <alignment horizontal="center" vertical="center" wrapText="1"/>
    </xf>
    <xf numFmtId="0" fontId="31" fillId="7"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1" fillId="29" borderId="0" xfId="0" applyFont="1" applyFill="1" applyAlignment="1">
      <alignment horizontal="center" vertical="center" wrapText="1"/>
    </xf>
    <xf numFmtId="0" fontId="31" fillId="0" borderId="0" xfId="0" applyFont="1" applyAlignment="1">
      <alignment horizontal="center" vertical="center"/>
    </xf>
    <xf numFmtId="1" fontId="31" fillId="0" borderId="0" xfId="0" applyNumberFormat="1" applyFont="1" applyAlignment="1">
      <alignment horizontal="center" vertical="center" wrapText="1"/>
    </xf>
    <xf numFmtId="164" fontId="31" fillId="0" borderId="0" xfId="0" applyNumberFormat="1" applyFont="1" applyAlignment="1">
      <alignment horizontal="center" vertical="center"/>
    </xf>
    <xf numFmtId="0" fontId="40" fillId="0" borderId="0" xfId="0" applyFont="1" applyAlignment="1">
      <alignment horizontal="center" vertical="center" wrapText="1"/>
    </xf>
    <xf numFmtId="164" fontId="0" fillId="0" borderId="0" xfId="0" applyNumberFormat="1" applyAlignment="1">
      <alignment horizontal="center" vertical="center"/>
    </xf>
    <xf numFmtId="0" fontId="3" fillId="0" borderId="5" xfId="0" applyFont="1" applyBorder="1" applyAlignment="1">
      <alignment horizontal="center" vertical="center" wrapText="1"/>
    </xf>
    <xf numFmtId="0" fontId="2" fillId="0" borderId="0" xfId="0" applyFont="1" applyAlignment="1">
      <alignment horizontal="center" vertical="center"/>
    </xf>
    <xf numFmtId="2" fontId="2" fillId="0" borderId="0" xfId="0" applyNumberFormat="1" applyFont="1" applyAlignment="1">
      <alignment horizontal="center" vertical="center" wrapText="1"/>
    </xf>
    <xf numFmtId="1" fontId="0" fillId="0" borderId="0" xfId="0" applyNumberForma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2" fontId="0" fillId="0" borderId="0" xfId="0" applyNumberFormat="1"/>
    <xf numFmtId="2" fontId="0" fillId="30" borderId="0" xfId="0" applyNumberFormat="1" applyFill="1"/>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91</xdr:row>
      <xdr:rowOff>0</xdr:rowOff>
    </xdr:from>
    <xdr:ext cx="184731" cy="264560"/>
    <xdr:sp macro="" textlink="">
      <xdr:nvSpPr>
        <xdr:cNvPr id="2" name="TextBox 1">
          <a:extLst>
            <a:ext uri="{FF2B5EF4-FFF2-40B4-BE49-F238E27FC236}">
              <a16:creationId xmlns:a16="http://schemas.microsoft.com/office/drawing/2014/main" id="{36B741C5-5C1D-4772-9049-3D64DC089806}"/>
            </a:ext>
          </a:extLst>
        </xdr:cNvPr>
        <xdr:cNvSpPr txBox="1"/>
      </xdr:nvSpPr>
      <xdr:spPr>
        <a:xfrm>
          <a:off x="6993558" y="14249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341</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7" dT="2025-01-09T22:46:24.69" personId="{FBF27AAF-F4F0-8C49-AF66-D929D0FB245E}" id="{45DAD5BF-4A3C-0C4B-85BA-69BD6AE8964D}">
    <text>Imputed from 2007</text>
  </threadedComment>
  <threadedComment ref="W47" dT="2025-01-09T22:46:49.47" personId="{FBF27AAF-F4F0-8C49-AF66-D929D0FB245E}" id="{15B74453-9C5E-8D4C-8916-AB3655203A06}">
    <text>Imputed from 2007</text>
  </threadedComment>
  <threadedComment ref="M52" dT="2023-09-23T15:09:21.27" personId="{F3E1AB9B-813D-4ADD-A314-6263003C67B8}" id="{EC258EC5-AE8E-467B-BE84-9F402725B75B}">
    <text>Raven's Matrices</text>
  </threadedComment>
  <threadedComment ref="Q59" dT="2023-09-19T16:25:18.95" personId="{F3E1AB9B-813D-4ADD-A314-6263003C67B8}" id="{2B53BE94-49D7-4A55-A07E-1A11825B8DC8}">
    <text>This is life-time Phe</text>
  </threadedComment>
  <threadedComment ref="R69" dT="2023-09-23T15:05:11.28" personId="{F3E1AB9B-813D-4ADD-A314-6263003C67B8}" id="{82A9E382-3FD9-4D7D-BC2E-E467C02B3C30}">
    <text>IDC last 6 months</text>
  </threadedComment>
  <threadedComment ref="G113" dT="2023-10-06T12:38:06.15" personId="{F3D3A8ED-63C4-6044-A478-4307182A27E6}" id="{12BA6E66-2DD2-483A-B03C-9FF1ADD57D42}">
    <text xml:space="preserve">8 early treated (diagnosed at birth), some data on late (&lt;1yr) treated, as well as later treated (&gt;1yr)
</text>
  </threadedComment>
  <threadedComment ref="P113" dT="2023-10-06T12:46:10.52" personId="{F3D3A8ED-63C4-6044-A478-4307182A27E6}" id="{CCE6ED34-A4A3-4EFE-B5A2-65EE90D071C2}">
    <text>The mean Phe level in the subjects in the treatment groups was 2.50 to 14.5 mg%.  (for early and late treated)</text>
  </threadedComment>
  <threadedComment ref="U113" dT="2023-10-06T12:13:39.53" personId="{F3D3A8ED-63C4-6044-A478-4307182A27E6}" id="{D4DF10CA-7DF6-480B-B26A-63A878DB25A1}">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81E7250E-58A7-4A75-A6F0-812F7378E966}">
    <text>Imputed from 2007</text>
  </threadedComment>
  <threadedComment ref="V46" dT="2025-01-09T22:46:49.47" personId="{FBF27AAF-F4F0-8C49-AF66-D929D0FB245E}" id="{4E83F9C6-3B74-475B-8EF6-4013B845CD23}">
    <text>Imputed from 2007</text>
  </threadedComment>
  <threadedComment ref="M51" dT="2023-09-23T15:09:21.27" personId="{F3E1AB9B-813D-4ADD-A314-6263003C67B8}" id="{CAE82B58-BDB0-416E-AC37-B6F947E6EEAC}">
    <text>Raven's Matrices</text>
  </threadedComment>
  <threadedComment ref="P57" dT="2023-09-19T16:25:18.95" personId="{F3E1AB9B-813D-4ADD-A314-6263003C67B8}" id="{579382AB-3E65-4251-A6EB-590B6A7FDB17}">
    <text>This is life-time Phe</text>
  </threadedComment>
  <threadedComment ref="Q67" dT="2023-09-23T15:05:11.28" personId="{F3E1AB9B-813D-4ADD-A314-6263003C67B8}" id="{0DD759CE-D77A-465E-8209-B0D820F66D01}">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5.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M141"/>
  <sheetViews>
    <sheetView topLeftCell="A22" workbookViewId="0">
      <selection activeCell="G40" sqref="G40"/>
    </sheetView>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30" width="8.5" style="31" customWidth="1"/>
    <col min="31" max="31" width="32.83203125" style="31" customWidth="1"/>
    <col min="32" max="32" width="27.5" style="30" customWidth="1"/>
    <col min="33" max="33" width="14.5" style="31" customWidth="1"/>
    <col min="34" max="34" width="8.5" style="31" customWidth="1"/>
    <col min="35" max="16384" width="8.83203125" style="31"/>
  </cols>
  <sheetData>
    <row r="1" spans="2:36" ht="13" customHeight="1">
      <c r="C1" s="417" t="s">
        <v>2040</v>
      </c>
    </row>
    <row r="2" spans="2:36" ht="13" customHeight="1">
      <c r="C2" s="417" t="s">
        <v>2406</v>
      </c>
    </row>
    <row r="3" spans="2:36" ht="13" customHeight="1">
      <c r="C3" s="417" t="s">
        <v>2405</v>
      </c>
    </row>
    <row r="4" spans="2:36" ht="13" customHeight="1">
      <c r="C4" s="417"/>
    </row>
    <row r="5" spans="2:36" ht="13" customHeight="1">
      <c r="C5" s="417" t="s">
        <v>2426</v>
      </c>
    </row>
    <row r="6" spans="2:36" ht="13" customHeight="1">
      <c r="B6" s="176"/>
    </row>
    <row r="7" spans="2:36" ht="13" customHeight="1">
      <c r="C7" s="140"/>
      <c r="D7" s="140"/>
      <c r="E7" s="140"/>
      <c r="F7" s="140"/>
      <c r="G7" s="640" t="s">
        <v>0</v>
      </c>
      <c r="H7" s="640"/>
      <c r="I7" s="640"/>
      <c r="J7" s="640"/>
      <c r="K7" s="640"/>
      <c r="L7" s="640"/>
      <c r="M7" s="640"/>
      <c r="N7" s="640"/>
      <c r="O7" s="640"/>
      <c r="P7" s="640"/>
      <c r="Q7" s="640"/>
      <c r="R7" s="640"/>
      <c r="S7" s="123"/>
      <c r="T7" s="140"/>
      <c r="U7" s="640" t="s">
        <v>1</v>
      </c>
      <c r="V7" s="640"/>
      <c r="W7" s="640"/>
      <c r="X7" s="640"/>
      <c r="Y7" s="123"/>
      <c r="Z7" s="123"/>
      <c r="AA7" s="123"/>
      <c r="AB7" s="140"/>
      <c r="AC7" s="140"/>
      <c r="AD7" s="140"/>
      <c r="AE7" s="140"/>
      <c r="AF7" s="197"/>
      <c r="AG7" s="140"/>
      <c r="AH7" s="140"/>
      <c r="AJ7" s="120" t="s">
        <v>1140</v>
      </c>
    </row>
    <row r="8" spans="2:36" ht="13" customHeight="1">
      <c r="C8" s="30"/>
      <c r="D8" s="30"/>
      <c r="E8" s="30"/>
      <c r="F8" s="30"/>
      <c r="G8" s="110"/>
      <c r="H8" s="110"/>
      <c r="I8" s="641" t="s">
        <v>208</v>
      </c>
      <c r="J8" s="641"/>
      <c r="K8" s="641"/>
      <c r="L8" s="109"/>
      <c r="M8" s="641" t="s">
        <v>188</v>
      </c>
      <c r="N8" s="641"/>
      <c r="O8" s="641"/>
      <c r="P8" s="109"/>
      <c r="Q8" s="642" t="s">
        <v>1137</v>
      </c>
      <c r="R8" s="642"/>
      <c r="S8" s="109"/>
      <c r="T8" s="30"/>
      <c r="U8" s="30"/>
      <c r="V8" s="30"/>
      <c r="W8" s="638" t="s">
        <v>208</v>
      </c>
      <c r="X8" s="638"/>
      <c r="Y8" s="638"/>
      <c r="AA8" s="638" t="s">
        <v>188</v>
      </c>
      <c r="AB8" s="638"/>
      <c r="AC8" s="30"/>
      <c r="AD8" s="30"/>
      <c r="AE8" s="639" t="s">
        <v>209</v>
      </c>
      <c r="AF8" s="639"/>
      <c r="AG8" s="111"/>
      <c r="AH8" s="639" t="s">
        <v>210</v>
      </c>
    </row>
    <row r="9" spans="2:36"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38" t="s">
        <v>18</v>
      </c>
      <c r="R9" s="238" t="s">
        <v>10</v>
      </c>
      <c r="S9" s="243"/>
      <c r="T9" s="110"/>
      <c r="U9" s="112" t="s">
        <v>213</v>
      </c>
      <c r="V9" s="112" t="s">
        <v>214</v>
      </c>
      <c r="W9" s="112" t="s">
        <v>18</v>
      </c>
      <c r="X9" s="112" t="s">
        <v>10</v>
      </c>
      <c r="Y9" s="112" t="s">
        <v>453</v>
      </c>
      <c r="Z9" s="112"/>
      <c r="AA9" s="112" t="s">
        <v>18</v>
      </c>
      <c r="AB9" s="112" t="s">
        <v>10</v>
      </c>
      <c r="AC9" s="110"/>
      <c r="AD9" s="110"/>
      <c r="AE9" s="638"/>
      <c r="AF9" s="638"/>
      <c r="AG9" s="111"/>
      <c r="AH9" s="638"/>
    </row>
    <row r="10" spans="2:36"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3">
        <v>203.3</v>
      </c>
      <c r="S10" s="453"/>
      <c r="T10" s="110" t="s">
        <v>1839</v>
      </c>
      <c r="U10" s="110">
        <v>40</v>
      </c>
      <c r="V10" s="110">
        <v>20</v>
      </c>
      <c r="W10" s="110">
        <v>29.8</v>
      </c>
      <c r="X10" s="109">
        <v>8.1999999999999993</v>
      </c>
      <c r="Y10" s="109" t="s">
        <v>24</v>
      </c>
      <c r="Z10" s="109"/>
      <c r="AA10" s="109"/>
      <c r="AC10" s="110"/>
      <c r="AD10" s="110"/>
      <c r="AE10" s="110" t="s">
        <v>218</v>
      </c>
      <c r="AF10" s="109" t="s">
        <v>24</v>
      </c>
      <c r="AG10" s="111"/>
      <c r="AH10" s="119" t="s">
        <v>219</v>
      </c>
    </row>
    <row r="11" spans="2:36" s="119" customFormat="1" ht="13" customHeight="1">
      <c r="B11" s="31" t="s">
        <v>925</v>
      </c>
      <c r="C11" s="119" t="s">
        <v>220</v>
      </c>
      <c r="E11" s="110" t="s">
        <v>221</v>
      </c>
      <c r="G11" s="26">
        <v>154</v>
      </c>
      <c r="H11" s="26">
        <v>85</v>
      </c>
      <c r="I11" s="228">
        <v>32.299999999999997</v>
      </c>
      <c r="J11" s="119">
        <v>9.0399999999999991</v>
      </c>
      <c r="K11" s="119" t="s">
        <v>24</v>
      </c>
      <c r="Q11" s="149">
        <v>908</v>
      </c>
      <c r="R11" s="149">
        <v>359</v>
      </c>
      <c r="S11" s="149"/>
      <c r="T11" s="119" t="s">
        <v>1085</v>
      </c>
      <c r="U11" s="26">
        <v>76</v>
      </c>
      <c r="V11" s="26">
        <v>46</v>
      </c>
      <c r="W11" s="119">
        <v>36.299999999999997</v>
      </c>
      <c r="X11" s="119">
        <v>9.15</v>
      </c>
      <c r="Y11" s="119" t="s">
        <v>24</v>
      </c>
      <c r="AE11" s="110" t="s">
        <v>218</v>
      </c>
      <c r="AF11" s="110" t="s">
        <v>23</v>
      </c>
      <c r="AH11" s="119" t="s">
        <v>219</v>
      </c>
    </row>
    <row r="12" spans="2:36" ht="13" customHeight="1">
      <c r="B12" s="31" t="s">
        <v>925</v>
      </c>
      <c r="C12" s="110" t="s">
        <v>222</v>
      </c>
      <c r="D12" s="30"/>
      <c r="E12" s="110" t="s">
        <v>223</v>
      </c>
      <c r="F12" s="30"/>
      <c r="G12" s="116">
        <v>46</v>
      </c>
      <c r="H12" s="116">
        <v>21</v>
      </c>
      <c r="I12" s="109">
        <v>29.5</v>
      </c>
      <c r="J12" s="110" t="s">
        <v>24</v>
      </c>
      <c r="K12" s="110" t="s">
        <v>1840</v>
      </c>
      <c r="L12" s="110"/>
      <c r="M12" s="110"/>
      <c r="N12" s="30"/>
      <c r="O12" s="30"/>
      <c r="P12" s="30"/>
      <c r="Q12" s="454">
        <v>594.79999999999995</v>
      </c>
      <c r="R12" s="239">
        <v>279</v>
      </c>
      <c r="S12" s="239"/>
      <c r="T12" s="31" t="s">
        <v>24</v>
      </c>
      <c r="U12" s="116">
        <v>31</v>
      </c>
      <c r="V12" s="110">
        <v>11</v>
      </c>
      <c r="W12" s="110">
        <v>25</v>
      </c>
      <c r="X12" s="110" t="s">
        <v>24</v>
      </c>
      <c r="Y12" s="110" t="s">
        <v>1841</v>
      </c>
      <c r="Z12" s="110"/>
      <c r="AA12" s="110"/>
      <c r="AC12" s="30"/>
      <c r="AD12" s="30"/>
      <c r="AE12" s="110" t="s">
        <v>224</v>
      </c>
      <c r="AF12" s="110" t="s">
        <v>23</v>
      </c>
      <c r="AG12" s="110"/>
      <c r="AH12" s="116" t="s">
        <v>23</v>
      </c>
    </row>
    <row r="13" spans="2:36" ht="13" customHeight="1">
      <c r="B13" s="31" t="s">
        <v>925</v>
      </c>
      <c r="C13" s="110" t="s">
        <v>1842</v>
      </c>
      <c r="D13" s="110" t="s">
        <v>225</v>
      </c>
      <c r="E13" s="110" t="s">
        <v>226</v>
      </c>
      <c r="F13" s="30"/>
      <c r="G13" s="110">
        <v>8</v>
      </c>
      <c r="H13" s="116">
        <v>3</v>
      </c>
      <c r="I13" s="111">
        <v>19.7</v>
      </c>
      <c r="J13" s="110">
        <v>1.1000000000000001</v>
      </c>
      <c r="K13" s="110" t="s">
        <v>24</v>
      </c>
      <c r="L13" s="110"/>
      <c r="M13" s="110">
        <v>108</v>
      </c>
      <c r="N13" s="116">
        <v>10</v>
      </c>
      <c r="O13" s="116" t="s">
        <v>24</v>
      </c>
      <c r="P13" s="116"/>
      <c r="Q13" s="239">
        <v>870</v>
      </c>
      <c r="R13" s="239">
        <v>186</v>
      </c>
      <c r="S13" s="239"/>
      <c r="T13" s="110" t="s">
        <v>24</v>
      </c>
      <c r="U13" s="110">
        <v>8</v>
      </c>
      <c r="V13" s="116">
        <v>3</v>
      </c>
      <c r="W13" s="110">
        <v>20.2</v>
      </c>
      <c r="X13" s="110">
        <v>2.4</v>
      </c>
      <c r="Y13" s="110" t="s">
        <v>24</v>
      </c>
      <c r="Z13" s="110"/>
      <c r="AA13" s="110">
        <v>107</v>
      </c>
      <c r="AB13" s="31">
        <v>10.1</v>
      </c>
      <c r="AC13" s="30"/>
      <c r="AD13" s="30"/>
      <c r="AE13" s="110" t="s">
        <v>218</v>
      </c>
      <c r="AF13" s="110" t="s">
        <v>23</v>
      </c>
      <c r="AG13" s="110"/>
      <c r="AH13" s="116" t="s">
        <v>188</v>
      </c>
    </row>
    <row r="14" spans="2:36" ht="13" customHeight="1">
      <c r="B14" s="31" t="s">
        <v>925</v>
      </c>
      <c r="C14" s="110" t="s">
        <v>227</v>
      </c>
      <c r="D14" s="110" t="s">
        <v>225</v>
      </c>
      <c r="E14" s="110" t="s">
        <v>221</v>
      </c>
      <c r="F14" s="30"/>
      <c r="G14" s="110">
        <v>20</v>
      </c>
      <c r="H14" s="110">
        <v>8</v>
      </c>
      <c r="I14" s="109">
        <v>24.6</v>
      </c>
      <c r="J14" s="110">
        <v>4.5999999999999996</v>
      </c>
      <c r="K14" s="110" t="s">
        <v>1843</v>
      </c>
      <c r="L14" s="110"/>
      <c r="M14" s="110"/>
      <c r="N14" s="30"/>
      <c r="O14" s="30"/>
      <c r="P14" s="30"/>
      <c r="Q14" s="107">
        <v>859</v>
      </c>
      <c r="R14" s="107">
        <v>285</v>
      </c>
      <c r="S14" s="107"/>
      <c r="T14" s="30" t="s">
        <v>1844</v>
      </c>
      <c r="U14" s="110">
        <v>20</v>
      </c>
      <c r="V14" s="110">
        <v>8</v>
      </c>
      <c r="W14" s="110">
        <v>24</v>
      </c>
      <c r="X14" s="110">
        <v>4</v>
      </c>
      <c r="Y14" s="110" t="s">
        <v>1845</v>
      </c>
      <c r="Z14" s="110"/>
      <c r="AA14" s="110"/>
      <c r="AC14" s="30"/>
      <c r="AD14" s="30"/>
      <c r="AE14" s="110" t="s">
        <v>218</v>
      </c>
      <c r="AF14" s="455" t="s">
        <v>23</v>
      </c>
      <c r="AG14" s="110"/>
      <c r="AH14" s="116" t="s">
        <v>228</v>
      </c>
    </row>
    <row r="15" spans="2:36" ht="13" customHeight="1">
      <c r="B15" s="31" t="s">
        <v>925</v>
      </c>
      <c r="C15" s="110" t="s">
        <v>229</v>
      </c>
      <c r="D15" s="110" t="s">
        <v>225</v>
      </c>
      <c r="E15" s="110" t="s">
        <v>221</v>
      </c>
      <c r="F15" s="30"/>
      <c r="G15" s="116">
        <v>25</v>
      </c>
      <c r="H15" s="116">
        <v>12</v>
      </c>
      <c r="I15" s="109">
        <v>26.7</v>
      </c>
      <c r="J15" s="110">
        <v>4.9000000000000004</v>
      </c>
      <c r="K15" s="110" t="s">
        <v>1843</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30"/>
      <c r="AE15" s="110" t="s">
        <v>218</v>
      </c>
      <c r="AF15" s="110" t="s">
        <v>23</v>
      </c>
      <c r="AG15" s="110"/>
      <c r="AH15" s="110" t="s">
        <v>230</v>
      </c>
    </row>
    <row r="16" spans="2:36"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39">
        <v>198</v>
      </c>
      <c r="S16" s="239"/>
      <c r="T16" s="30" t="s">
        <v>1004</v>
      </c>
      <c r="U16" s="116">
        <v>45</v>
      </c>
      <c r="V16" s="116">
        <v>19</v>
      </c>
      <c r="W16" s="116">
        <v>28.8</v>
      </c>
      <c r="X16" s="116">
        <v>7.5</v>
      </c>
      <c r="Y16" s="116" t="s">
        <v>1846</v>
      </c>
      <c r="Z16" s="116"/>
      <c r="AA16" s="116"/>
      <c r="AE16" s="110" t="s">
        <v>232</v>
      </c>
      <c r="AF16" s="110" t="s">
        <v>233</v>
      </c>
      <c r="AG16" s="110"/>
      <c r="AH16" s="116" t="s">
        <v>219</v>
      </c>
    </row>
    <row r="17" spans="1:39" ht="13" customHeight="1">
      <c r="B17" s="31" t="s">
        <v>925</v>
      </c>
      <c r="C17" s="31" t="s">
        <v>1847</v>
      </c>
      <c r="E17" s="31" t="s">
        <v>253</v>
      </c>
      <c r="G17" s="31">
        <v>40</v>
      </c>
      <c r="H17" s="31">
        <v>26</v>
      </c>
      <c r="I17" s="120">
        <v>26.4</v>
      </c>
      <c r="J17" s="31">
        <v>5.5</v>
      </c>
      <c r="K17" s="31" t="s">
        <v>1103</v>
      </c>
      <c r="M17" s="31">
        <v>101</v>
      </c>
      <c r="N17" s="31">
        <v>11.1</v>
      </c>
      <c r="O17" s="31" t="s">
        <v>1848</v>
      </c>
      <c r="Q17" s="11">
        <v>589</v>
      </c>
      <c r="R17" s="11">
        <v>444</v>
      </c>
      <c r="T17" s="31" t="s">
        <v>935</v>
      </c>
      <c r="U17" s="31">
        <v>32</v>
      </c>
      <c r="V17" s="31">
        <v>21</v>
      </c>
      <c r="W17" s="31">
        <v>25.9</v>
      </c>
      <c r="X17" s="31">
        <v>4.2</v>
      </c>
      <c r="Y17" s="31" t="s">
        <v>1849</v>
      </c>
      <c r="AA17" s="31">
        <v>104</v>
      </c>
      <c r="AB17" s="31">
        <v>9</v>
      </c>
      <c r="AC17" s="31" t="s">
        <v>1850</v>
      </c>
      <c r="AE17" s="31" t="s">
        <v>1851</v>
      </c>
      <c r="AF17" s="30" t="s">
        <v>938</v>
      </c>
      <c r="AH17" s="456" t="s">
        <v>1852</v>
      </c>
    </row>
    <row r="18" spans="1:39" ht="13" customHeight="1">
      <c r="B18" s="646" t="s">
        <v>925</v>
      </c>
      <c r="C18" s="645"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30"/>
      <c r="AE18" s="110" t="s">
        <v>23</v>
      </c>
      <c r="AF18" s="110" t="s">
        <v>127</v>
      </c>
      <c r="AG18" s="110"/>
      <c r="AH18" s="110"/>
    </row>
    <row r="19" spans="1:39" ht="13" customHeight="1">
      <c r="B19" s="646"/>
      <c r="C19" s="645"/>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30"/>
      <c r="AE19" s="110" t="s">
        <v>23</v>
      </c>
      <c r="AF19" s="110" t="s">
        <v>127</v>
      </c>
      <c r="AG19" s="110"/>
      <c r="AH19" s="110"/>
    </row>
    <row r="20" spans="1:39" ht="13" customHeight="1">
      <c r="B20" s="31" t="s">
        <v>925</v>
      </c>
      <c r="C20" s="113" t="s">
        <v>235</v>
      </c>
      <c r="D20" s="113" t="s">
        <v>2399</v>
      </c>
      <c r="E20" s="643" t="s">
        <v>221</v>
      </c>
      <c r="F20" s="476"/>
      <c r="G20" s="113">
        <v>38</v>
      </c>
      <c r="H20" s="113">
        <v>25</v>
      </c>
      <c r="I20" s="114">
        <v>27.3</v>
      </c>
      <c r="J20" s="113">
        <v>8.1</v>
      </c>
      <c r="K20" s="113" t="s">
        <v>24</v>
      </c>
      <c r="L20" s="113"/>
      <c r="M20" s="113"/>
      <c r="N20" s="462"/>
      <c r="O20" s="462"/>
      <c r="P20" s="462"/>
      <c r="Q20" s="199">
        <v>751</v>
      </c>
      <c r="R20" s="199">
        <v>319</v>
      </c>
      <c r="S20" s="199"/>
      <c r="T20" s="476" t="s">
        <v>24</v>
      </c>
      <c r="U20" s="113">
        <v>39</v>
      </c>
      <c r="V20" s="113">
        <v>29</v>
      </c>
      <c r="W20" s="113">
        <v>27.8</v>
      </c>
      <c r="X20" s="113">
        <v>8.4</v>
      </c>
      <c r="Y20" s="113" t="s">
        <v>24</v>
      </c>
      <c r="Z20" s="110"/>
      <c r="AA20" s="110"/>
      <c r="AC20" s="30"/>
      <c r="AD20" s="30"/>
      <c r="AE20" s="110" t="s">
        <v>224</v>
      </c>
      <c r="AF20" s="110" t="s">
        <v>237</v>
      </c>
      <c r="AG20" s="110"/>
      <c r="AH20" s="116" t="s">
        <v>238</v>
      </c>
    </row>
    <row r="21" spans="1:39" ht="13" customHeight="1">
      <c r="B21" s="31" t="s">
        <v>925</v>
      </c>
      <c r="C21" s="113" t="s">
        <v>239</v>
      </c>
      <c r="D21" s="110"/>
      <c r="E21" s="643"/>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30"/>
      <c r="AE21" s="110"/>
      <c r="AF21" s="110"/>
      <c r="AG21" s="110"/>
      <c r="AH21" s="116"/>
    </row>
    <row r="22" spans="1:39" s="120" customFormat="1" ht="13" customHeight="1">
      <c r="A22" s="131"/>
      <c r="B22" s="31" t="s">
        <v>925</v>
      </c>
      <c r="C22" s="459" t="s">
        <v>2375</v>
      </c>
      <c r="D22" s="461" t="s">
        <v>2401</v>
      </c>
      <c r="E22" s="643"/>
      <c r="F22" s="458" t="s">
        <v>949</v>
      </c>
      <c r="G22" s="458">
        <v>36</v>
      </c>
      <c r="H22" s="233">
        <v>23</v>
      </c>
      <c r="I22" s="458">
        <v>27.4</v>
      </c>
      <c r="J22" s="458">
        <v>8.3000000000000007</v>
      </c>
      <c r="K22" s="233" t="s">
        <v>2373</v>
      </c>
      <c r="L22" s="466"/>
      <c r="M22" s="466">
        <v>104.3</v>
      </c>
      <c r="N22" s="497">
        <v>14.2</v>
      </c>
      <c r="O22" s="200" t="s">
        <v>2391</v>
      </c>
      <c r="P22" s="200"/>
      <c r="Q22" s="200">
        <v>670</v>
      </c>
      <c r="R22" s="460">
        <v>319</v>
      </c>
      <c r="S22" s="460"/>
      <c r="T22" s="498" t="s">
        <v>24</v>
      </c>
      <c r="U22" s="200">
        <v>40</v>
      </c>
      <c r="V22" s="200">
        <v>30</v>
      </c>
      <c r="W22" s="200">
        <v>28</v>
      </c>
      <c r="X22" s="200">
        <v>8.5</v>
      </c>
      <c r="Y22" s="499" t="s">
        <v>2374</v>
      </c>
      <c r="Z22" s="155"/>
      <c r="AA22" s="165">
        <v>1</v>
      </c>
      <c r="AB22" s="131"/>
      <c r="AC22" s="155"/>
      <c r="AD22" s="155"/>
      <c r="AE22" s="155" t="s">
        <v>2392</v>
      </c>
      <c r="AF22" s="131" t="s">
        <v>2377</v>
      </c>
      <c r="AG22" s="155"/>
      <c r="AH22" s="155" t="s">
        <v>2393</v>
      </c>
      <c r="AI22" s="131"/>
      <c r="AK22" s="131"/>
      <c r="AL22" s="131"/>
      <c r="AM22" s="131"/>
    </row>
    <row r="23" spans="1:39" ht="13" customHeight="1">
      <c r="B23" s="31" t="s">
        <v>925</v>
      </c>
      <c r="C23" s="113" t="s">
        <v>2462</v>
      </c>
      <c r="E23" s="644" t="s">
        <v>242</v>
      </c>
      <c r="F23" s="30"/>
      <c r="G23" s="116">
        <v>56</v>
      </c>
      <c r="H23" s="116">
        <v>31</v>
      </c>
      <c r="I23" s="110">
        <v>28.9</v>
      </c>
      <c r="J23" s="110">
        <v>6.5</v>
      </c>
      <c r="K23" s="110" t="s">
        <v>1854</v>
      </c>
      <c r="L23" s="110"/>
      <c r="M23" s="110"/>
      <c r="N23" s="110"/>
      <c r="O23" s="110"/>
      <c r="P23" s="110"/>
      <c r="Q23" s="107">
        <v>657</v>
      </c>
      <c r="R23" s="107">
        <v>336</v>
      </c>
      <c r="S23" s="107"/>
      <c r="T23" s="110" t="s">
        <v>1855</v>
      </c>
      <c r="U23" s="116">
        <v>53</v>
      </c>
      <c r="V23" s="116">
        <v>39</v>
      </c>
      <c r="W23" s="116">
        <v>26</v>
      </c>
      <c r="X23" s="116">
        <v>5.8</v>
      </c>
      <c r="Y23" s="116" t="s">
        <v>1856</v>
      </c>
      <c r="Z23" s="116"/>
      <c r="AA23" s="116"/>
      <c r="AC23" s="30"/>
      <c r="AD23" s="30"/>
      <c r="AE23" s="110" t="s">
        <v>224</v>
      </c>
      <c r="AF23" s="110" t="s">
        <v>23</v>
      </c>
      <c r="AG23" s="110"/>
      <c r="AH23" s="110" t="s">
        <v>23</v>
      </c>
    </row>
    <row r="24" spans="1:39" ht="13" customHeight="1">
      <c r="B24" s="31" t="s">
        <v>925</v>
      </c>
      <c r="C24" s="113" t="s">
        <v>2463</v>
      </c>
      <c r="D24" s="113" t="s">
        <v>2400</v>
      </c>
      <c r="E24" s="644"/>
      <c r="F24" s="476"/>
      <c r="G24" s="459">
        <v>57</v>
      </c>
      <c r="H24" s="459">
        <v>33</v>
      </c>
      <c r="I24" s="114">
        <v>27.7</v>
      </c>
      <c r="J24" s="113">
        <v>6</v>
      </c>
      <c r="K24" s="113" t="s">
        <v>1857</v>
      </c>
      <c r="L24" s="113"/>
      <c r="M24" s="113"/>
      <c r="N24" s="113"/>
      <c r="O24" s="113"/>
      <c r="P24" s="113"/>
      <c r="Q24" s="199">
        <v>655</v>
      </c>
      <c r="R24" s="199">
        <v>342</v>
      </c>
      <c r="S24" s="199"/>
      <c r="T24" s="113" t="s">
        <v>1858</v>
      </c>
      <c r="U24" s="459">
        <v>57</v>
      </c>
      <c r="V24" s="459">
        <v>38</v>
      </c>
      <c r="W24" s="459">
        <v>28.8</v>
      </c>
      <c r="X24" s="459">
        <v>5.9</v>
      </c>
      <c r="Y24" s="459" t="s">
        <v>1856</v>
      </c>
      <c r="Z24" s="116"/>
      <c r="AA24" s="116"/>
      <c r="AC24" s="30"/>
      <c r="AD24" s="30"/>
      <c r="AE24" s="110"/>
      <c r="AF24" s="110"/>
      <c r="AG24" s="110"/>
      <c r="AH24" s="110"/>
    </row>
    <row r="25" spans="1:39" s="11" customFormat="1" ht="13" customHeight="1">
      <c r="B25" s="31" t="s">
        <v>925</v>
      </c>
      <c r="C25" s="11" t="s">
        <v>1859</v>
      </c>
      <c r="E25" s="11" t="s">
        <v>1324</v>
      </c>
      <c r="G25" s="11">
        <v>20</v>
      </c>
      <c r="H25" s="11">
        <v>17</v>
      </c>
      <c r="I25" s="155">
        <v>29.55</v>
      </c>
      <c r="J25" s="11">
        <v>8.81</v>
      </c>
      <c r="K25" s="11" t="s">
        <v>1054</v>
      </c>
      <c r="M25" s="11" t="s">
        <v>1143</v>
      </c>
      <c r="Q25" s="11">
        <v>585.75</v>
      </c>
      <c r="R25" s="11">
        <v>419.73</v>
      </c>
      <c r="T25" s="11" t="s">
        <v>24</v>
      </c>
      <c r="U25" s="11">
        <v>20</v>
      </c>
      <c r="V25" s="11">
        <v>17</v>
      </c>
      <c r="W25" s="11">
        <v>30</v>
      </c>
      <c r="X25" s="11">
        <v>9.43</v>
      </c>
      <c r="Y25" s="11" t="s">
        <v>1591</v>
      </c>
      <c r="AA25" s="11" t="s">
        <v>1143</v>
      </c>
      <c r="AE25" s="12" t="s">
        <v>1860</v>
      </c>
      <c r="AF25" s="12" t="s">
        <v>1861</v>
      </c>
      <c r="AH25" s="11" t="s">
        <v>1862</v>
      </c>
    </row>
    <row r="26" spans="1:39" ht="13" customHeight="1">
      <c r="B26" s="31" t="s">
        <v>925</v>
      </c>
      <c r="C26" s="110" t="s">
        <v>244</v>
      </c>
      <c r="D26" s="30"/>
      <c r="E26" s="110" t="s">
        <v>245</v>
      </c>
      <c r="F26" s="30"/>
      <c r="G26" s="116">
        <v>9</v>
      </c>
      <c r="H26" s="116">
        <v>8</v>
      </c>
      <c r="I26" s="109">
        <v>26</v>
      </c>
      <c r="J26" s="110">
        <v>3.7</v>
      </c>
      <c r="K26" s="110" t="s">
        <v>24</v>
      </c>
      <c r="L26" s="110"/>
      <c r="M26" s="110"/>
      <c r="N26" s="30"/>
      <c r="O26" s="30"/>
      <c r="P26" s="30"/>
      <c r="Q26" s="107">
        <v>1000</v>
      </c>
      <c r="R26" s="107">
        <v>775</v>
      </c>
      <c r="S26" s="107"/>
      <c r="T26" s="30" t="s">
        <v>24</v>
      </c>
      <c r="U26" s="116">
        <v>9</v>
      </c>
      <c r="V26" s="110">
        <v>8</v>
      </c>
      <c r="W26" s="110">
        <v>25</v>
      </c>
      <c r="X26" s="110">
        <v>3.7</v>
      </c>
      <c r="Y26" s="110" t="s">
        <v>24</v>
      </c>
      <c r="Z26" s="110"/>
      <c r="AA26" s="110"/>
      <c r="AC26" s="30"/>
      <c r="AD26" s="30"/>
      <c r="AE26" s="110" t="s">
        <v>23</v>
      </c>
      <c r="AF26" s="110" t="s">
        <v>23</v>
      </c>
      <c r="AG26" s="110"/>
      <c r="AH26" s="110" t="s">
        <v>23</v>
      </c>
    </row>
    <row r="27" spans="1:39" ht="13" customHeight="1">
      <c r="B27" s="31" t="s">
        <v>925</v>
      </c>
      <c r="C27" s="110" t="s">
        <v>246</v>
      </c>
      <c r="D27" s="110"/>
      <c r="E27" s="110" t="s">
        <v>245</v>
      </c>
      <c r="F27" s="30"/>
      <c r="G27" s="116">
        <v>12</v>
      </c>
      <c r="H27" s="116">
        <v>10</v>
      </c>
      <c r="I27" s="109">
        <v>28.5</v>
      </c>
      <c r="J27" s="110">
        <v>11.4</v>
      </c>
      <c r="K27" s="110" t="s">
        <v>24</v>
      </c>
      <c r="L27" s="110"/>
      <c r="M27" s="110"/>
      <c r="N27" s="110"/>
      <c r="O27" s="110"/>
      <c r="P27" s="110"/>
      <c r="Q27" s="107" t="s">
        <v>24</v>
      </c>
      <c r="R27" s="107" t="s">
        <v>24</v>
      </c>
      <c r="S27" s="107"/>
      <c r="T27" s="110"/>
      <c r="U27" s="116">
        <v>12</v>
      </c>
      <c r="V27" s="116" t="s">
        <v>24</v>
      </c>
      <c r="W27" s="116">
        <v>29.2</v>
      </c>
      <c r="X27" s="116">
        <v>11</v>
      </c>
      <c r="Y27" s="116" t="s">
        <v>24</v>
      </c>
      <c r="Z27" s="116"/>
      <c r="AA27" s="116"/>
      <c r="AC27" s="30"/>
      <c r="AD27" s="30"/>
      <c r="AE27" s="110" t="s">
        <v>224</v>
      </c>
      <c r="AF27" s="110" t="s">
        <v>247</v>
      </c>
      <c r="AG27" s="110"/>
      <c r="AH27" s="110" t="s">
        <v>219</v>
      </c>
    </row>
    <row r="28" spans="1:39" s="11" customFormat="1" ht="13" customHeight="1">
      <c r="B28" s="31" t="s">
        <v>925</v>
      </c>
      <c r="C28" s="11" t="s">
        <v>2055</v>
      </c>
      <c r="E28" s="11" t="s">
        <v>1863</v>
      </c>
      <c r="F28" s="457" t="s">
        <v>1864</v>
      </c>
      <c r="G28" s="11">
        <v>30</v>
      </c>
      <c r="H28" s="11">
        <v>13</v>
      </c>
      <c r="I28" s="155">
        <v>35.5</v>
      </c>
      <c r="J28" s="11" t="s">
        <v>1865</v>
      </c>
      <c r="K28" s="11" t="s">
        <v>1054</v>
      </c>
      <c r="M28" s="11">
        <v>97</v>
      </c>
      <c r="N28" s="11" t="s">
        <v>1866</v>
      </c>
      <c r="O28" s="11" t="s">
        <v>24</v>
      </c>
      <c r="Q28" s="11">
        <v>741</v>
      </c>
      <c r="R28" s="11" t="s">
        <v>1619</v>
      </c>
      <c r="T28" s="11" t="s">
        <v>1867</v>
      </c>
      <c r="U28" s="11">
        <v>54</v>
      </c>
      <c r="V28" s="11">
        <v>26</v>
      </c>
      <c r="W28" s="11">
        <v>29.3</v>
      </c>
      <c r="X28" s="11" t="s">
        <v>1868</v>
      </c>
      <c r="Y28" s="11" t="s">
        <v>1869</v>
      </c>
      <c r="AA28" s="11">
        <v>109</v>
      </c>
      <c r="AB28" s="11" t="s">
        <v>1870</v>
      </c>
      <c r="AE28" s="11" t="s">
        <v>1871</v>
      </c>
      <c r="AF28" s="12" t="s">
        <v>938</v>
      </c>
      <c r="AH28" s="11" t="s">
        <v>1872</v>
      </c>
    </row>
    <row r="29" spans="1:39" ht="13" customHeight="1">
      <c r="B29" s="31" t="s">
        <v>925</v>
      </c>
      <c r="C29" s="110" t="s">
        <v>248</v>
      </c>
      <c r="D29" s="110" t="s">
        <v>249</v>
      </c>
      <c r="E29" s="110" t="s">
        <v>250</v>
      </c>
      <c r="F29" s="30"/>
      <c r="G29" s="116">
        <v>14</v>
      </c>
      <c r="H29" s="116">
        <v>12</v>
      </c>
      <c r="I29" s="109">
        <v>24.97</v>
      </c>
      <c r="J29" s="110">
        <v>1.6</v>
      </c>
      <c r="K29" s="110" t="s">
        <v>1750</v>
      </c>
      <c r="L29" s="110"/>
      <c r="M29" s="110"/>
      <c r="N29" s="30"/>
      <c r="O29" s="30"/>
      <c r="P29" s="30"/>
      <c r="Q29" s="107" t="s">
        <v>24</v>
      </c>
      <c r="R29" s="107" t="s">
        <v>24</v>
      </c>
      <c r="S29" s="107"/>
      <c r="T29" s="30" t="s">
        <v>938</v>
      </c>
      <c r="U29" s="116">
        <v>14</v>
      </c>
      <c r="V29" s="110">
        <v>12</v>
      </c>
      <c r="W29" s="110">
        <v>23.7</v>
      </c>
      <c r="X29" s="116">
        <v>2.6</v>
      </c>
      <c r="Y29" s="116" t="s">
        <v>1873</v>
      </c>
      <c r="Z29" s="116"/>
      <c r="AA29" s="116"/>
      <c r="AC29" s="30"/>
      <c r="AD29" s="30"/>
      <c r="AE29" s="110" t="s">
        <v>232</v>
      </c>
      <c r="AG29" s="30"/>
      <c r="AH29" s="110" t="s">
        <v>23</v>
      </c>
    </row>
    <row r="30" spans="1:39" ht="13" customHeight="1">
      <c r="B30" s="31" t="s">
        <v>925</v>
      </c>
      <c r="C30" s="110" t="s">
        <v>251</v>
      </c>
      <c r="D30" s="110"/>
      <c r="E30" s="110" t="s">
        <v>226</v>
      </c>
      <c r="F30" s="30"/>
      <c r="G30" s="116">
        <v>57</v>
      </c>
      <c r="H30" s="116">
        <v>33</v>
      </c>
      <c r="I30" s="109">
        <v>23.6</v>
      </c>
      <c r="J30" s="110">
        <v>3.4</v>
      </c>
      <c r="K30" s="110" t="s">
        <v>1874</v>
      </c>
      <c r="L30" s="110"/>
      <c r="M30" s="110"/>
      <c r="N30" s="110"/>
      <c r="O30" s="110"/>
      <c r="P30" s="110"/>
      <c r="Q30" s="107">
        <v>1085</v>
      </c>
      <c r="R30" s="107">
        <v>303</v>
      </c>
      <c r="S30" s="107"/>
      <c r="T30" s="110" t="s">
        <v>1875</v>
      </c>
      <c r="U30" s="116">
        <v>40</v>
      </c>
      <c r="V30" s="116">
        <v>24</v>
      </c>
      <c r="W30" s="116">
        <v>23</v>
      </c>
      <c r="X30" s="116" t="s">
        <v>24</v>
      </c>
      <c r="Y30" s="116" t="s">
        <v>1874</v>
      </c>
      <c r="Z30" s="116"/>
      <c r="AA30" s="116"/>
      <c r="AC30" s="30"/>
      <c r="AD30" s="30"/>
      <c r="AE30" s="110" t="s">
        <v>232</v>
      </c>
      <c r="AF30" s="110" t="s">
        <v>23</v>
      </c>
      <c r="AG30" s="110"/>
      <c r="AH30" s="110" t="s">
        <v>23</v>
      </c>
    </row>
    <row r="31" spans="1:39" ht="13" customHeight="1">
      <c r="B31" s="31" t="s">
        <v>925</v>
      </c>
      <c r="C31" s="110" t="s">
        <v>252</v>
      </c>
      <c r="D31" s="30"/>
      <c r="E31" s="110" t="s">
        <v>253</v>
      </c>
      <c r="F31" s="30"/>
      <c r="G31" s="116">
        <v>25</v>
      </c>
      <c r="H31" s="116">
        <v>12</v>
      </c>
      <c r="I31" s="109">
        <v>22</v>
      </c>
      <c r="J31" s="110" t="s">
        <v>24</v>
      </c>
      <c r="K31" s="110" t="s">
        <v>24</v>
      </c>
      <c r="L31" s="110"/>
      <c r="M31" s="110"/>
      <c r="N31" s="30"/>
      <c r="O31" s="30"/>
      <c r="P31" s="30"/>
      <c r="Q31" s="107">
        <v>1945</v>
      </c>
      <c r="R31" s="107" t="s">
        <v>24</v>
      </c>
      <c r="S31" s="107"/>
      <c r="T31" s="30" t="s">
        <v>24</v>
      </c>
      <c r="U31" s="116">
        <v>15</v>
      </c>
      <c r="V31" s="110">
        <v>9</v>
      </c>
      <c r="W31" s="110">
        <v>23</v>
      </c>
      <c r="X31" s="110" t="s">
        <v>24</v>
      </c>
      <c r="Y31" s="110" t="s">
        <v>24</v>
      </c>
      <c r="Z31" s="110"/>
      <c r="AA31" s="110"/>
      <c r="AC31" s="30"/>
      <c r="AD31" s="30"/>
      <c r="AE31" s="110" t="s">
        <v>218</v>
      </c>
      <c r="AF31" s="110" t="s">
        <v>254</v>
      </c>
      <c r="AG31" s="110"/>
      <c r="AH31" s="110" t="s">
        <v>255</v>
      </c>
    </row>
    <row r="32" spans="1:39" ht="13" customHeight="1">
      <c r="B32" s="31" t="s">
        <v>925</v>
      </c>
      <c r="C32" s="110" t="s">
        <v>256</v>
      </c>
      <c r="D32" s="110" t="s">
        <v>257</v>
      </c>
      <c r="E32" s="110" t="s">
        <v>250</v>
      </c>
      <c r="F32" s="30"/>
      <c r="G32" s="116">
        <v>19</v>
      </c>
      <c r="H32" s="116">
        <v>8</v>
      </c>
      <c r="I32" s="109">
        <v>25.4</v>
      </c>
      <c r="J32" s="110">
        <v>4.0999999999999996</v>
      </c>
      <c r="K32" s="110" t="s">
        <v>1876</v>
      </c>
      <c r="L32" s="110"/>
      <c r="M32" s="110"/>
      <c r="N32" s="110"/>
      <c r="O32" s="110"/>
      <c r="P32" s="110"/>
      <c r="Q32" s="107">
        <v>1042</v>
      </c>
      <c r="R32" s="11">
        <v>428</v>
      </c>
      <c r="T32" s="110" t="s">
        <v>1877</v>
      </c>
      <c r="U32" s="116">
        <v>19</v>
      </c>
      <c r="V32" s="116">
        <v>8</v>
      </c>
      <c r="W32" s="116">
        <v>24.7</v>
      </c>
      <c r="X32" s="116">
        <v>3.4</v>
      </c>
      <c r="Y32" s="116" t="s">
        <v>24</v>
      </c>
      <c r="Z32" s="116"/>
      <c r="AA32" s="116"/>
      <c r="AC32" s="30"/>
      <c r="AD32" s="30"/>
      <c r="AE32" s="110" t="s">
        <v>224</v>
      </c>
      <c r="AF32" s="110" t="s">
        <v>23</v>
      </c>
      <c r="AG32" s="110"/>
      <c r="AH32" s="110" t="s">
        <v>1878</v>
      </c>
    </row>
    <row r="33" spans="1:34" ht="13" customHeight="1">
      <c r="B33" s="31" t="s">
        <v>925</v>
      </c>
      <c r="C33" s="110" t="s">
        <v>258</v>
      </c>
      <c r="D33" s="110" t="s">
        <v>259</v>
      </c>
      <c r="E33" s="110" t="s">
        <v>226</v>
      </c>
      <c r="F33" s="30"/>
      <c r="G33" s="116">
        <v>19</v>
      </c>
      <c r="H33" s="116">
        <v>11</v>
      </c>
      <c r="I33" s="109">
        <v>20.5</v>
      </c>
      <c r="J33" s="110" t="s">
        <v>24</v>
      </c>
      <c r="K33" s="110" t="s">
        <v>1879</v>
      </c>
      <c r="L33" s="110"/>
      <c r="M33" s="110"/>
      <c r="N33" s="30"/>
      <c r="O33" s="30"/>
      <c r="P33" s="30"/>
      <c r="Q33" s="107">
        <v>2069</v>
      </c>
      <c r="R33" s="107" t="s">
        <v>24</v>
      </c>
      <c r="S33" s="107"/>
      <c r="T33" s="30" t="s">
        <v>1880</v>
      </c>
      <c r="U33" s="116">
        <v>20</v>
      </c>
      <c r="V33" s="116">
        <v>11</v>
      </c>
      <c r="W33" s="116">
        <v>20.7</v>
      </c>
      <c r="X33" s="116" t="s">
        <v>24</v>
      </c>
      <c r="Y33" s="116" t="s">
        <v>1881</v>
      </c>
      <c r="Z33" s="116"/>
      <c r="AA33" s="116"/>
      <c r="AC33" s="30"/>
      <c r="AD33" s="30"/>
      <c r="AE33" s="110" t="s">
        <v>224</v>
      </c>
      <c r="AF33" s="110" t="s">
        <v>23</v>
      </c>
      <c r="AG33" s="110"/>
      <c r="AH33" s="110" t="s">
        <v>23</v>
      </c>
    </row>
    <row r="34" spans="1:34" ht="13" customHeight="1">
      <c r="B34" s="646" t="s">
        <v>925</v>
      </c>
      <c r="C34" s="645" t="s">
        <v>260</v>
      </c>
      <c r="D34" s="110" t="s">
        <v>261</v>
      </c>
      <c r="E34" s="110" t="s">
        <v>1882</v>
      </c>
      <c r="F34" s="30"/>
      <c r="G34" s="116">
        <v>11</v>
      </c>
      <c r="H34" s="116">
        <v>4</v>
      </c>
      <c r="I34" s="109">
        <v>22.4</v>
      </c>
      <c r="J34" s="110">
        <v>5.5</v>
      </c>
      <c r="K34" s="110" t="s">
        <v>24</v>
      </c>
      <c r="L34" s="110"/>
      <c r="M34" s="110"/>
      <c r="N34" s="110"/>
      <c r="O34" s="110"/>
      <c r="P34" s="110"/>
      <c r="Q34" s="107">
        <v>566</v>
      </c>
      <c r="R34" s="107">
        <v>217</v>
      </c>
      <c r="S34" s="107"/>
      <c r="T34" s="110" t="s">
        <v>1883</v>
      </c>
      <c r="U34" s="116">
        <v>22</v>
      </c>
      <c r="V34" s="116">
        <v>9</v>
      </c>
      <c r="W34" s="116">
        <v>24.1</v>
      </c>
      <c r="X34" s="116">
        <v>4.5</v>
      </c>
      <c r="Y34" s="116" t="s">
        <v>1095</v>
      </c>
      <c r="Z34" s="116"/>
      <c r="AA34" s="116"/>
      <c r="AC34" s="30"/>
      <c r="AD34" s="30"/>
      <c r="AE34" s="110" t="s">
        <v>23</v>
      </c>
      <c r="AF34" s="110" t="s">
        <v>23</v>
      </c>
      <c r="AG34" s="110"/>
      <c r="AH34" s="110" t="s">
        <v>188</v>
      </c>
    </row>
    <row r="35" spans="1:34" ht="13" customHeight="1">
      <c r="B35" s="646"/>
      <c r="C35" s="645"/>
      <c r="D35" s="110" t="s">
        <v>262</v>
      </c>
      <c r="E35" s="110" t="s">
        <v>1882</v>
      </c>
      <c r="F35" s="30"/>
      <c r="G35" s="116">
        <v>11</v>
      </c>
      <c r="H35" s="116">
        <v>4</v>
      </c>
      <c r="I35" s="109">
        <v>25.4</v>
      </c>
      <c r="J35" s="110">
        <v>5.5</v>
      </c>
      <c r="K35" s="110" t="s">
        <v>24</v>
      </c>
      <c r="L35" s="110"/>
      <c r="M35" s="110"/>
      <c r="N35" s="110"/>
      <c r="O35" s="110"/>
      <c r="P35" s="110"/>
      <c r="Q35" s="107">
        <v>1545</v>
      </c>
      <c r="R35" s="107">
        <v>182</v>
      </c>
      <c r="S35" s="107"/>
      <c r="T35" s="110" t="s">
        <v>1884</v>
      </c>
      <c r="U35" s="116"/>
      <c r="V35" s="116"/>
      <c r="W35" s="116"/>
      <c r="X35" s="116"/>
      <c r="Y35" s="116"/>
      <c r="Z35" s="116"/>
      <c r="AA35" s="116"/>
      <c r="AC35" s="30"/>
      <c r="AD35" s="30"/>
      <c r="AE35" s="110" t="s">
        <v>23</v>
      </c>
      <c r="AF35" s="110" t="s">
        <v>23</v>
      </c>
      <c r="AG35" s="110"/>
      <c r="AH35" s="110" t="s">
        <v>188</v>
      </c>
    </row>
    <row r="36" spans="1:34" s="11" customFormat="1" ht="13" customHeight="1">
      <c r="A36" s="31" t="s">
        <v>2013</v>
      </c>
      <c r="B36" s="31" t="s">
        <v>925</v>
      </c>
      <c r="C36" s="11" t="s">
        <v>2062</v>
      </c>
      <c r="E36" s="11" t="s">
        <v>253</v>
      </c>
      <c r="G36" s="11">
        <v>70</v>
      </c>
      <c r="H36" s="11">
        <v>70</v>
      </c>
      <c r="I36" s="11">
        <v>21</v>
      </c>
      <c r="J36" s="11">
        <v>3.5</v>
      </c>
      <c r="K36" s="11" t="s">
        <v>24</v>
      </c>
      <c r="M36" s="11">
        <v>85.7</v>
      </c>
      <c r="N36" s="11">
        <v>16</v>
      </c>
      <c r="O36" s="11" t="s">
        <v>24</v>
      </c>
      <c r="Q36" s="11" t="s">
        <v>24</v>
      </c>
      <c r="R36" s="11" t="s">
        <v>24</v>
      </c>
      <c r="U36" s="11">
        <v>68</v>
      </c>
      <c r="V36" s="11">
        <v>68</v>
      </c>
      <c r="W36" s="11">
        <v>21.2</v>
      </c>
      <c r="X36" s="11">
        <v>3.7</v>
      </c>
      <c r="Y36" s="11" t="s">
        <v>24</v>
      </c>
      <c r="AA36" s="11">
        <v>95.2</v>
      </c>
      <c r="AB36" s="11">
        <v>14</v>
      </c>
      <c r="AE36" s="11" t="s">
        <v>938</v>
      </c>
      <c r="AF36" s="12"/>
    </row>
    <row r="37" spans="1:34" ht="13" customHeight="1">
      <c r="B37" s="646" t="s">
        <v>925</v>
      </c>
      <c r="C37" s="645" t="s">
        <v>263</v>
      </c>
      <c r="D37" s="110" t="s">
        <v>264</v>
      </c>
      <c r="E37" s="110" t="s">
        <v>226</v>
      </c>
      <c r="F37" s="30"/>
      <c r="G37" s="116">
        <v>8</v>
      </c>
      <c r="H37" s="116">
        <v>0</v>
      </c>
      <c r="I37" s="109">
        <v>31</v>
      </c>
      <c r="J37" s="110">
        <v>6</v>
      </c>
      <c r="K37" s="110" t="s">
        <v>24</v>
      </c>
      <c r="L37" s="110"/>
      <c r="M37" s="110"/>
      <c r="N37" s="30"/>
      <c r="O37" s="30"/>
      <c r="P37" s="30"/>
      <c r="Q37" s="107">
        <v>1210</v>
      </c>
      <c r="R37" s="107">
        <v>320</v>
      </c>
      <c r="S37" s="107"/>
      <c r="T37" s="30" t="s">
        <v>24</v>
      </c>
      <c r="U37" s="116">
        <v>15</v>
      </c>
      <c r="V37" s="116">
        <v>0</v>
      </c>
      <c r="W37" s="116">
        <v>32.1</v>
      </c>
      <c r="X37" s="116">
        <v>6.4</v>
      </c>
      <c r="Y37" s="116" t="s">
        <v>1885</v>
      </c>
      <c r="Z37" s="116"/>
      <c r="AA37" s="116"/>
      <c r="AC37" s="30"/>
      <c r="AD37" s="30"/>
      <c r="AE37" s="110" t="s">
        <v>224</v>
      </c>
      <c r="AF37" s="110" t="s">
        <v>127</v>
      </c>
      <c r="AG37" s="110"/>
      <c r="AH37" s="110" t="s">
        <v>23</v>
      </c>
    </row>
    <row r="38" spans="1:34" ht="13" customHeight="1">
      <c r="B38" s="646"/>
      <c r="C38" s="645"/>
      <c r="D38" s="110" t="s">
        <v>265</v>
      </c>
      <c r="E38" s="110" t="s">
        <v>226</v>
      </c>
      <c r="F38" s="30"/>
      <c r="G38" s="116">
        <v>9</v>
      </c>
      <c r="H38" s="116">
        <v>0</v>
      </c>
      <c r="I38" s="109">
        <v>31</v>
      </c>
      <c r="J38" s="110">
        <v>4.7</v>
      </c>
      <c r="K38" s="110" t="s">
        <v>24</v>
      </c>
      <c r="L38" s="110"/>
      <c r="M38" s="110"/>
      <c r="N38" s="30"/>
      <c r="O38" s="30"/>
      <c r="P38" s="30"/>
      <c r="Q38" s="107">
        <v>1140</v>
      </c>
      <c r="R38" s="107">
        <v>310</v>
      </c>
      <c r="S38" s="107"/>
      <c r="T38" s="30" t="s">
        <v>24</v>
      </c>
      <c r="U38" s="116"/>
      <c r="V38" s="116"/>
      <c r="W38" s="116"/>
      <c r="X38" s="116"/>
      <c r="Y38" s="116"/>
      <c r="Z38" s="116"/>
      <c r="AA38" s="116"/>
      <c r="AC38" s="30"/>
      <c r="AD38" s="30"/>
      <c r="AE38" s="110" t="s">
        <v>224</v>
      </c>
      <c r="AF38" s="110" t="s">
        <v>127</v>
      </c>
      <c r="AG38" s="110"/>
      <c r="AH38" s="110" t="s">
        <v>23</v>
      </c>
    </row>
    <row r="39" spans="1:34" ht="13" customHeight="1">
      <c r="B39" s="31" t="s">
        <v>925</v>
      </c>
      <c r="C39" s="110" t="s">
        <v>266</v>
      </c>
      <c r="D39" s="110"/>
      <c r="E39" s="110" t="s">
        <v>226</v>
      </c>
      <c r="F39" s="30"/>
      <c r="G39" s="116">
        <v>16</v>
      </c>
      <c r="H39" s="116">
        <v>16</v>
      </c>
      <c r="I39" s="109">
        <v>25.8</v>
      </c>
      <c r="J39" s="110">
        <v>4.4000000000000004</v>
      </c>
      <c r="K39" s="110" t="s">
        <v>24</v>
      </c>
      <c r="L39" s="110"/>
      <c r="M39" s="110"/>
      <c r="N39" s="110"/>
      <c r="O39" s="110"/>
      <c r="P39" s="110"/>
      <c r="Q39" s="107">
        <v>926.2</v>
      </c>
      <c r="R39" s="107">
        <v>430</v>
      </c>
      <c r="S39" s="107"/>
      <c r="T39" s="110" t="s">
        <v>24</v>
      </c>
      <c r="U39" s="116">
        <v>17</v>
      </c>
      <c r="V39" s="116">
        <v>17</v>
      </c>
      <c r="W39" s="116">
        <v>24.7</v>
      </c>
      <c r="X39" s="116">
        <v>3.9</v>
      </c>
      <c r="Y39" s="116" t="s">
        <v>24</v>
      </c>
      <c r="Z39" s="116"/>
      <c r="AA39" s="116"/>
      <c r="AC39" s="30"/>
      <c r="AD39" s="30"/>
      <c r="AE39" s="110" t="s">
        <v>232</v>
      </c>
      <c r="AF39" s="110" t="s">
        <v>267</v>
      </c>
      <c r="AG39" s="110"/>
      <c r="AH39" s="110" t="s">
        <v>24</v>
      </c>
    </row>
    <row r="40" spans="1:34" ht="13" customHeight="1">
      <c r="B40" s="31" t="s">
        <v>925</v>
      </c>
      <c r="C40" s="110" t="s">
        <v>1886</v>
      </c>
      <c r="D40" s="30"/>
      <c r="E40" s="110" t="s">
        <v>226</v>
      </c>
      <c r="F40" s="30"/>
      <c r="G40" s="116">
        <v>8</v>
      </c>
      <c r="H40" s="116" t="s">
        <v>23</v>
      </c>
      <c r="I40" s="109">
        <v>23.3</v>
      </c>
      <c r="J40" s="110">
        <v>3.8</v>
      </c>
      <c r="K40" s="110" t="s">
        <v>24</v>
      </c>
      <c r="L40" s="110"/>
      <c r="M40" s="110"/>
      <c r="N40" s="30"/>
      <c r="O40" s="30"/>
      <c r="P40" s="30"/>
      <c r="Q40" s="107">
        <v>1253.0999999999999</v>
      </c>
      <c r="R40" s="107">
        <v>176</v>
      </c>
      <c r="S40" s="107"/>
      <c r="T40" s="30" t="s">
        <v>24</v>
      </c>
      <c r="U40" s="116">
        <v>8</v>
      </c>
      <c r="V40" s="116" t="s">
        <v>24</v>
      </c>
      <c r="W40" s="116">
        <v>20.100000000000001</v>
      </c>
      <c r="X40" s="116">
        <v>3.9</v>
      </c>
      <c r="Y40" s="116" t="s">
        <v>24</v>
      </c>
      <c r="Z40" s="116"/>
      <c r="AA40" s="116"/>
      <c r="AC40" s="30"/>
      <c r="AD40" s="30"/>
      <c r="AE40" s="110" t="s">
        <v>23</v>
      </c>
      <c r="AF40" s="110" t="s">
        <v>268</v>
      </c>
      <c r="AG40" s="110"/>
      <c r="AH40" s="110" t="s">
        <v>188</v>
      </c>
    </row>
    <row r="41" spans="1:34" ht="13" customHeight="1">
      <c r="B41" s="31" t="s">
        <v>925</v>
      </c>
      <c r="C41" s="110" t="s">
        <v>269</v>
      </c>
      <c r="D41" s="110" t="s">
        <v>2418</v>
      </c>
      <c r="E41" s="110" t="s">
        <v>226</v>
      </c>
      <c r="F41" s="30"/>
      <c r="G41" s="116">
        <v>57</v>
      </c>
      <c r="H41" s="116">
        <v>37</v>
      </c>
      <c r="I41" s="109">
        <v>31.7</v>
      </c>
      <c r="J41" s="110">
        <v>5.9</v>
      </c>
      <c r="K41" s="110" t="s">
        <v>896</v>
      </c>
      <c r="L41" s="110"/>
      <c r="M41" s="110"/>
      <c r="N41" s="110"/>
      <c r="O41" s="110"/>
      <c r="P41" s="110"/>
      <c r="Q41" s="107">
        <v>773.7</v>
      </c>
      <c r="R41" s="107" t="s">
        <v>24</v>
      </c>
      <c r="S41" s="107"/>
      <c r="T41" s="110" t="s">
        <v>24</v>
      </c>
      <c r="U41" s="116">
        <v>46</v>
      </c>
      <c r="V41" s="116">
        <v>24</v>
      </c>
      <c r="W41" s="116">
        <v>34.200000000000003</v>
      </c>
      <c r="X41" s="116">
        <v>11</v>
      </c>
      <c r="Y41" s="116" t="s">
        <v>1887</v>
      </c>
      <c r="Z41" s="116"/>
      <c r="AA41" s="116"/>
      <c r="AC41" s="30"/>
      <c r="AD41" s="30"/>
      <c r="AE41" s="110" t="s">
        <v>232</v>
      </c>
      <c r="AG41" s="30"/>
      <c r="AH41" s="110" t="s">
        <v>255</v>
      </c>
    </row>
    <row r="42" spans="1:34" ht="13" customHeight="1">
      <c r="B42" s="31" t="s">
        <v>925</v>
      </c>
      <c r="C42" s="110" t="s">
        <v>271</v>
      </c>
      <c r="D42" s="110"/>
      <c r="E42" s="110" t="s">
        <v>226</v>
      </c>
      <c r="F42" s="30"/>
      <c r="G42" s="116">
        <v>19</v>
      </c>
      <c r="H42" s="116">
        <v>12</v>
      </c>
      <c r="I42" s="109">
        <v>41</v>
      </c>
      <c r="J42" s="110">
        <f>(45-30)/4</f>
        <v>3.75</v>
      </c>
      <c r="K42" s="110" t="s">
        <v>1888</v>
      </c>
      <c r="L42" s="110"/>
      <c r="M42" s="110"/>
      <c r="N42" s="110"/>
      <c r="O42" s="110"/>
      <c r="P42" s="110"/>
      <c r="Q42" s="107">
        <v>889.8</v>
      </c>
      <c r="R42" s="107">
        <v>459</v>
      </c>
      <c r="S42" s="107"/>
      <c r="T42" s="110" t="s">
        <v>1889</v>
      </c>
      <c r="U42" s="116">
        <v>25</v>
      </c>
      <c r="V42" s="116">
        <v>15</v>
      </c>
      <c r="W42" s="116">
        <v>34</v>
      </c>
      <c r="X42" s="116">
        <f>(40-30)/4</f>
        <v>2.5</v>
      </c>
      <c r="Y42" s="116" t="s">
        <v>1890</v>
      </c>
      <c r="Z42" s="116"/>
      <c r="AA42" s="116"/>
      <c r="AC42" s="30"/>
      <c r="AD42" s="30"/>
      <c r="AE42" s="110" t="s">
        <v>218</v>
      </c>
      <c r="AF42" s="30" t="s">
        <v>272</v>
      </c>
      <c r="AG42" s="30"/>
      <c r="AH42" s="110" t="s">
        <v>219</v>
      </c>
    </row>
    <row r="43" spans="1:34" ht="13" customHeight="1">
      <c r="B43" s="120" t="s">
        <v>2043</v>
      </c>
      <c r="C43" s="363" t="s">
        <v>1891</v>
      </c>
      <c r="D43" s="182"/>
      <c r="E43" s="182"/>
      <c r="F43" s="477"/>
      <c r="G43" s="352">
        <f>AVERAGE(G10:G19,G21,G23,G25:G42)</f>
        <v>30.733333333333334</v>
      </c>
      <c r="H43" s="352">
        <f>AVERAGE(H10:H19,H21,H23,H25:H42)</f>
        <v>18.793103448275861</v>
      </c>
      <c r="I43" s="352">
        <f>AVERAGE(I10:I19,I21,I23,I25:I42)</f>
        <v>27.510666666666665</v>
      </c>
      <c r="J43" s="352">
        <f>AVERAGE(J10:J19,J21,J23,J25:J42)</f>
        <v>5.4192307692307704</v>
      </c>
      <c r="K43" s="352"/>
      <c r="L43" s="182"/>
      <c r="M43" s="182"/>
      <c r="N43" s="182"/>
      <c r="O43" s="182"/>
      <c r="P43" s="182"/>
      <c r="Q43" s="352">
        <v>974</v>
      </c>
      <c r="R43" s="352">
        <f>AVERAGE(R10:R19,R21,R23,R25:R42)</f>
        <v>313.13173913043482</v>
      </c>
      <c r="S43" s="364"/>
      <c r="T43" s="182"/>
      <c r="U43" s="352">
        <f>AVERAGE(U10:U19,U21,U23,U25:U42)</f>
        <v>30.035714285714285</v>
      </c>
      <c r="V43" s="352">
        <f>AVERAGE(V10:V19,V21,V23,V25:V42)</f>
        <v>18.625</v>
      </c>
      <c r="W43" s="352">
        <f>AVERAGE(W10:W19,W21,W23,W25:W42)</f>
        <v>26.503076923076929</v>
      </c>
      <c r="X43" s="352">
        <f>AVERAGE(X10:X19,X21,X23,X25:X42)</f>
        <v>5.7204761904761918</v>
      </c>
      <c r="Y43" s="502"/>
      <c r="Z43" s="116"/>
      <c r="AA43" s="116"/>
      <c r="AC43" s="30"/>
      <c r="AD43" s="30"/>
      <c r="AE43" s="110"/>
      <c r="AG43" s="30"/>
      <c r="AH43" s="110"/>
    </row>
    <row r="44" spans="1:34" ht="13" customHeight="1">
      <c r="C44" s="365" t="s">
        <v>10</v>
      </c>
      <c r="D44" s="182"/>
      <c r="E44" s="182"/>
      <c r="F44" s="477"/>
      <c r="G44" s="366">
        <f>STDEV(G10:G19,G21,G23,G25:G42)</f>
        <v>29.258577679307855</v>
      </c>
      <c r="H44" s="366">
        <f>STDEV(H10:H19,H21,H23,H25:H42)</f>
        <v>19.10942047103774</v>
      </c>
      <c r="I44" s="366">
        <f>STDEV(I10:I19,I21,I23,I25:I42)</f>
        <v>4.7026037786369521</v>
      </c>
      <c r="J44" s="366">
        <f>STDEV(J10:J19,J21,J23,J25:J42)</f>
        <v>2.317244783059262</v>
      </c>
      <c r="K44" s="366"/>
      <c r="L44" s="182"/>
      <c r="M44" s="182"/>
      <c r="N44" s="182"/>
      <c r="O44" s="182"/>
      <c r="P44" s="182"/>
      <c r="Q44" s="366">
        <f>STDEV(Q10:Q19,Q21,Q23,Q25:Q42)</f>
        <v>397.5415388803134</v>
      </c>
      <c r="R44" s="366">
        <f>STDEV(R10:R19,R21,R23,R25:R42)</f>
        <v>142.31702506766587</v>
      </c>
      <c r="S44" s="367"/>
      <c r="T44" s="182"/>
      <c r="U44" s="366">
        <f>STDEV(U10:U19,U21,U23,U25:U42)</f>
        <v>18.510221686363103</v>
      </c>
      <c r="V44" s="366">
        <f>STDEV(V10:V19,V21,V23,V25:V42)</f>
        <v>14.834778467301527</v>
      </c>
      <c r="W44" s="366">
        <f>STDEV(W10:W19,W21,W23,W25:W42)</f>
        <v>4.4092183155119127</v>
      </c>
      <c r="X44" s="366">
        <f>STDEV(X10:X19,X21,X23,X25:X42)</f>
        <v>2.7569829092514793</v>
      </c>
      <c r="Y44" s="502"/>
      <c r="Z44" s="116"/>
      <c r="AA44" s="116"/>
      <c r="AC44" s="30"/>
      <c r="AD44" s="30"/>
      <c r="AE44" s="110"/>
      <c r="AG44" s="30"/>
      <c r="AH44" s="110"/>
    </row>
    <row r="45" spans="1:34" ht="13" customHeight="1">
      <c r="C45" s="110"/>
      <c r="D45" s="110"/>
      <c r="E45" s="110"/>
      <c r="F45" s="30"/>
      <c r="G45" s="116">
        <f>SUM(G10:G19,G21,G23,G25:G42)</f>
        <v>922</v>
      </c>
      <c r="H45" s="116">
        <f>SUM(H10:H19,H21,H23,H25:H42)</f>
        <v>545</v>
      </c>
      <c r="I45" s="109"/>
      <c r="J45" s="110"/>
      <c r="K45" s="110"/>
      <c r="L45" s="110"/>
      <c r="M45" s="110"/>
      <c r="N45" s="110"/>
      <c r="O45" s="110"/>
      <c r="P45" s="110"/>
      <c r="Q45" s="107"/>
      <c r="R45" s="107"/>
      <c r="S45" s="107"/>
      <c r="T45" s="110"/>
      <c r="U45" s="116">
        <f>SUM(U10:U19,U21,U23,U25:U42)</f>
        <v>841</v>
      </c>
      <c r="V45" s="116">
        <f>SUM(V10:V19,V21,V23,V25:V42)</f>
        <v>447</v>
      </c>
      <c r="W45" s="116"/>
      <c r="X45" s="116"/>
      <c r="Y45" s="116"/>
      <c r="Z45" s="116"/>
      <c r="AA45" s="116"/>
      <c r="AC45" s="30"/>
      <c r="AD45" s="30"/>
      <c r="AE45" s="110"/>
      <c r="AG45" s="30"/>
      <c r="AH45" s="110"/>
    </row>
    <row r="46" spans="1:34" ht="13" customHeight="1">
      <c r="B46" s="478"/>
      <c r="C46" s="124"/>
      <c r="D46" s="124"/>
      <c r="E46" s="124"/>
      <c r="F46" s="479"/>
      <c r="G46" s="198"/>
      <c r="H46" s="198"/>
      <c r="I46" s="229"/>
      <c r="J46" s="124"/>
      <c r="K46" s="124"/>
      <c r="L46" s="124"/>
      <c r="M46" s="124"/>
      <c r="N46" s="124"/>
      <c r="O46" s="124"/>
      <c r="P46" s="124"/>
      <c r="Q46" s="500"/>
      <c r="R46" s="500"/>
      <c r="S46" s="500"/>
      <c r="T46" s="124"/>
      <c r="U46" s="501"/>
      <c r="V46" s="501"/>
      <c r="W46" s="198"/>
      <c r="X46" s="198"/>
      <c r="Y46" s="198"/>
      <c r="Z46" s="198"/>
      <c r="AA46" s="198"/>
      <c r="AB46" s="478"/>
      <c r="AC46" s="479"/>
      <c r="AD46" s="30"/>
      <c r="AE46" s="110"/>
      <c r="AG46" s="30"/>
      <c r="AH46" s="110"/>
    </row>
    <row r="47" spans="1:34" ht="13" customHeight="1">
      <c r="B47" s="31" t="s">
        <v>1144</v>
      </c>
      <c r="C47" s="113" t="s">
        <v>2316</v>
      </c>
      <c r="D47" s="110"/>
      <c r="E47" s="110" t="s">
        <v>245</v>
      </c>
      <c r="F47" s="116" t="s">
        <v>1892</v>
      </c>
      <c r="G47" s="31">
        <v>36</v>
      </c>
      <c r="H47" s="116">
        <v>13</v>
      </c>
      <c r="I47" s="109">
        <v>11.18</v>
      </c>
      <c r="J47" s="110">
        <v>3.4</v>
      </c>
      <c r="K47" s="110" t="s">
        <v>24</v>
      </c>
      <c r="L47" s="110"/>
      <c r="M47" s="110"/>
      <c r="N47" s="110"/>
      <c r="O47" s="110"/>
      <c r="P47" s="110"/>
      <c r="Q47" s="107"/>
      <c r="R47" s="107"/>
      <c r="S47" s="107"/>
      <c r="T47" s="110"/>
      <c r="U47" s="116">
        <v>36</v>
      </c>
      <c r="V47" s="116">
        <v>14</v>
      </c>
      <c r="W47" s="121">
        <v>10.29</v>
      </c>
      <c r="X47" s="28">
        <v>3.1</v>
      </c>
      <c r="Y47" s="116" t="s">
        <v>24</v>
      </c>
      <c r="Z47" s="116"/>
      <c r="AA47" s="121">
        <v>103.91</v>
      </c>
      <c r="AB47" s="31">
        <v>12.6</v>
      </c>
      <c r="AC47" s="30" t="s">
        <v>24</v>
      </c>
      <c r="AD47" s="30"/>
      <c r="AE47" s="110" t="s">
        <v>1893</v>
      </c>
      <c r="AF47" s="30" t="s">
        <v>938</v>
      </c>
      <c r="AG47" s="30"/>
      <c r="AH47" s="110" t="s">
        <v>1894</v>
      </c>
    </row>
    <row r="48" spans="1:34" ht="13" customHeight="1">
      <c r="B48" s="31" t="s">
        <v>1144</v>
      </c>
      <c r="C48" s="113" t="s">
        <v>2460</v>
      </c>
      <c r="D48" s="113" t="s">
        <v>2429</v>
      </c>
      <c r="E48" s="517" t="s">
        <v>245</v>
      </c>
      <c r="F48" s="518" t="s">
        <v>1892</v>
      </c>
      <c r="G48" s="512">
        <v>33</v>
      </c>
      <c r="H48" s="518">
        <v>13</v>
      </c>
      <c r="I48" s="519">
        <v>11.18</v>
      </c>
      <c r="J48" s="517">
        <v>3.4</v>
      </c>
      <c r="K48" s="517" t="s">
        <v>24</v>
      </c>
      <c r="L48" s="517"/>
      <c r="M48" s="517">
        <v>90.97</v>
      </c>
      <c r="N48" s="517">
        <v>8.6</v>
      </c>
      <c r="O48" s="517" t="s">
        <v>24</v>
      </c>
      <c r="P48" s="517"/>
      <c r="Q48" s="520" t="s">
        <v>1143</v>
      </c>
      <c r="R48" s="520" t="s">
        <v>24</v>
      </c>
      <c r="S48" s="520"/>
      <c r="T48" s="517"/>
      <c r="U48" s="518">
        <v>34</v>
      </c>
      <c r="V48" s="518">
        <v>14</v>
      </c>
      <c r="W48" s="521">
        <v>10.29</v>
      </c>
      <c r="X48" s="522">
        <v>3.1</v>
      </c>
      <c r="Y48" s="518" t="s">
        <v>24</v>
      </c>
      <c r="Z48" s="518"/>
      <c r="AA48" s="521">
        <v>103.91</v>
      </c>
      <c r="AB48" s="512">
        <v>12.6</v>
      </c>
      <c r="AC48" s="523" t="s">
        <v>24</v>
      </c>
      <c r="AD48" s="30"/>
      <c r="AE48" s="110"/>
      <c r="AG48" s="30"/>
      <c r="AH48" s="110"/>
    </row>
    <row r="49" spans="1:37" ht="13" customHeight="1">
      <c r="B49" s="31" t="s">
        <v>1144</v>
      </c>
      <c r="C49" s="110" t="s">
        <v>1895</v>
      </c>
      <c r="D49" s="110"/>
      <c r="E49" s="110" t="s">
        <v>253</v>
      </c>
      <c r="F49" s="30"/>
      <c r="G49" s="116">
        <v>46</v>
      </c>
      <c r="H49" s="116">
        <v>26</v>
      </c>
      <c r="I49" s="109">
        <f>129/12</f>
        <v>10.75</v>
      </c>
      <c r="J49" s="110">
        <v>2.1</v>
      </c>
      <c r="K49" s="133" t="s">
        <v>1191</v>
      </c>
      <c r="L49" s="110"/>
      <c r="M49" s="110">
        <v>104.2</v>
      </c>
      <c r="N49" s="110">
        <v>10.7</v>
      </c>
      <c r="O49" s="110" t="s">
        <v>24</v>
      </c>
      <c r="P49" s="110"/>
      <c r="Q49" s="158">
        <f>8.1*60.5364</f>
        <v>490.34483999999998</v>
      </c>
      <c r="R49" s="158">
        <f>6.2*60.5364</f>
        <v>375.32568000000003</v>
      </c>
      <c r="S49" s="158"/>
      <c r="T49" s="110" t="s">
        <v>1192</v>
      </c>
      <c r="U49" s="116">
        <v>18</v>
      </c>
      <c r="V49" s="116">
        <v>9</v>
      </c>
      <c r="W49" s="139">
        <f>128/12</f>
        <v>10.666666666666666</v>
      </c>
      <c r="X49" s="139">
        <f>13/12</f>
        <v>1.0833333333333333</v>
      </c>
      <c r="Y49" s="138" t="s">
        <v>1193</v>
      </c>
      <c r="Z49" s="116"/>
      <c r="AA49" s="116">
        <v>102.1</v>
      </c>
      <c r="AB49" s="31">
        <v>13.4</v>
      </c>
      <c r="AC49" s="30" t="s">
        <v>24</v>
      </c>
      <c r="AD49" s="30"/>
      <c r="AE49" s="110" t="s">
        <v>1196</v>
      </c>
      <c r="AF49" s="30" t="s">
        <v>1195</v>
      </c>
      <c r="AG49" s="30"/>
      <c r="AH49" s="110"/>
      <c r="AJ49" s="31" t="s">
        <v>1139</v>
      </c>
    </row>
    <row r="50" spans="1:37" ht="13" customHeight="1">
      <c r="B50" s="31" t="s">
        <v>1144</v>
      </c>
      <c r="C50" s="110" t="s">
        <v>863</v>
      </c>
      <c r="D50" s="110"/>
      <c r="E50" s="110" t="s">
        <v>253</v>
      </c>
      <c r="F50" s="30"/>
      <c r="G50" s="116">
        <v>36</v>
      </c>
      <c r="H50" s="116">
        <v>18</v>
      </c>
      <c r="I50" s="109">
        <v>12.2</v>
      </c>
      <c r="J50" s="110">
        <v>3.9</v>
      </c>
      <c r="K50" s="133" t="s">
        <v>609</v>
      </c>
      <c r="L50" s="110"/>
      <c r="M50" s="110">
        <v>105.8</v>
      </c>
      <c r="N50" s="110">
        <v>9.6</v>
      </c>
      <c r="O50" s="110" t="s">
        <v>875</v>
      </c>
      <c r="P50" s="110"/>
      <c r="Q50" s="158">
        <f>8.4*60.5364</f>
        <v>508.50576000000001</v>
      </c>
      <c r="R50" s="158">
        <f>4.7*60.5364</f>
        <v>284.52108000000004</v>
      </c>
      <c r="S50" s="158"/>
      <c r="T50" s="137" t="s">
        <v>1202</v>
      </c>
      <c r="U50" s="116">
        <v>41</v>
      </c>
      <c r="V50" s="116">
        <v>23</v>
      </c>
      <c r="W50" s="139">
        <v>13.1</v>
      </c>
      <c r="X50" s="139">
        <v>3.2</v>
      </c>
      <c r="Y50" s="138" t="s">
        <v>609</v>
      </c>
      <c r="Z50" s="116"/>
      <c r="AA50" s="116">
        <v>108.5</v>
      </c>
      <c r="AB50" s="31">
        <v>10</v>
      </c>
      <c r="AC50" s="30" t="s">
        <v>876</v>
      </c>
      <c r="AD50" s="30"/>
      <c r="AE50" s="110" t="s">
        <v>224</v>
      </c>
      <c r="AF50" s="30" t="s">
        <v>1195</v>
      </c>
      <c r="AG50" s="30"/>
      <c r="AH50" s="110"/>
      <c r="AK50" s="31" t="s">
        <v>1194</v>
      </c>
    </row>
    <row r="51" spans="1:37" s="11" customFormat="1" ht="13" customHeight="1">
      <c r="A51" s="31" t="s">
        <v>2013</v>
      </c>
      <c r="B51" s="31" t="s">
        <v>1144</v>
      </c>
      <c r="C51" s="11" t="s">
        <v>2076</v>
      </c>
      <c r="E51" s="11" t="s">
        <v>253</v>
      </c>
      <c r="G51" s="11">
        <v>9</v>
      </c>
      <c r="H51" s="11">
        <v>5</v>
      </c>
      <c r="I51" s="155">
        <v>10.58</v>
      </c>
      <c r="J51" s="11">
        <v>2.76</v>
      </c>
      <c r="K51" s="11" t="s">
        <v>2063</v>
      </c>
      <c r="M51" s="11" t="s">
        <v>938</v>
      </c>
      <c r="N51" s="11" t="s">
        <v>24</v>
      </c>
      <c r="O51" s="11" t="s">
        <v>24</v>
      </c>
      <c r="Q51" s="11">
        <f>9.67*88.4</f>
        <v>854.82800000000009</v>
      </c>
      <c r="R51" s="480">
        <f>3*88.4</f>
        <v>265.20000000000005</v>
      </c>
      <c r="S51" s="480"/>
      <c r="T51" s="11" t="s">
        <v>2064</v>
      </c>
      <c r="U51" s="11">
        <v>12</v>
      </c>
      <c r="V51" s="11">
        <v>8</v>
      </c>
      <c r="W51" s="11">
        <v>10.7</v>
      </c>
      <c r="X51" s="11">
        <v>2.2000000000000002</v>
      </c>
      <c r="Y51" s="177" t="s">
        <v>2065</v>
      </c>
      <c r="AA51" s="11" t="s">
        <v>938</v>
      </c>
      <c r="AB51" s="11" t="s">
        <v>24</v>
      </c>
      <c r="AE51" s="11" t="s">
        <v>924</v>
      </c>
      <c r="AF51" s="12"/>
    </row>
    <row r="52" spans="1:37" ht="13" customHeight="1">
      <c r="B52" s="31" t="s">
        <v>1144</v>
      </c>
      <c r="C52" s="110" t="s">
        <v>1258</v>
      </c>
      <c r="D52" s="110"/>
      <c r="E52" s="110" t="s">
        <v>1175</v>
      </c>
      <c r="F52" s="30"/>
      <c r="G52" s="116">
        <v>11</v>
      </c>
      <c r="H52" s="116">
        <v>5</v>
      </c>
      <c r="I52" s="230">
        <f>156/12</f>
        <v>13</v>
      </c>
      <c r="J52" s="137">
        <f>29.8/12</f>
        <v>2.4833333333333334</v>
      </c>
      <c r="K52" s="133" t="s">
        <v>1259</v>
      </c>
      <c r="L52" s="110"/>
      <c r="M52" s="110">
        <v>31.7</v>
      </c>
      <c r="N52" s="110" t="s">
        <v>24</v>
      </c>
      <c r="O52" s="31" t="s">
        <v>24</v>
      </c>
      <c r="P52" s="110"/>
      <c r="Q52" s="107">
        <v>743.18</v>
      </c>
      <c r="R52" s="107">
        <v>83.64</v>
      </c>
      <c r="S52" s="107"/>
      <c r="T52" s="110" t="s">
        <v>1261</v>
      </c>
      <c r="U52" s="116">
        <v>28</v>
      </c>
      <c r="V52" s="116">
        <v>11</v>
      </c>
      <c r="W52" s="139">
        <f>142/12</f>
        <v>11.833333333333334</v>
      </c>
      <c r="X52" s="139">
        <f>29.5/12</f>
        <v>2.4583333333333335</v>
      </c>
      <c r="Y52" s="138" t="s">
        <v>1260</v>
      </c>
      <c r="Z52" s="116"/>
      <c r="AA52" s="116">
        <v>33.1</v>
      </c>
      <c r="AB52" s="28">
        <v>2.2000000000000002</v>
      </c>
      <c r="AC52" s="30" t="s">
        <v>24</v>
      </c>
      <c r="AD52" s="30"/>
      <c r="AE52" s="110" t="s">
        <v>1896</v>
      </c>
      <c r="AF52" s="30" t="s">
        <v>1195</v>
      </c>
      <c r="AG52" s="30"/>
      <c r="AH52" s="110"/>
    </row>
    <row r="53" spans="1:37" ht="13" customHeight="1">
      <c r="B53" s="31" t="s">
        <v>1144</v>
      </c>
      <c r="C53" s="526" t="s">
        <v>2395</v>
      </c>
      <c r="D53" s="30" t="s">
        <v>2420</v>
      </c>
      <c r="E53" s="146" t="s">
        <v>1326</v>
      </c>
      <c r="G53" s="31">
        <v>10</v>
      </c>
      <c r="H53" s="31">
        <v>3</v>
      </c>
      <c r="I53" s="120">
        <v>7.53</v>
      </c>
      <c r="J53" s="137">
        <f>(9.75-5.58)/4</f>
        <v>1.0425</v>
      </c>
      <c r="K53" s="180" t="s">
        <v>2072</v>
      </c>
      <c r="M53" s="31" t="s">
        <v>938</v>
      </c>
      <c r="N53" s="31" t="s">
        <v>24</v>
      </c>
      <c r="O53" s="31" t="s">
        <v>24</v>
      </c>
      <c r="P53" s="31" t="s">
        <v>2073</v>
      </c>
      <c r="Q53" s="31">
        <v>348</v>
      </c>
      <c r="R53" s="31">
        <v>167</v>
      </c>
      <c r="S53" s="31"/>
      <c r="T53" s="31" t="s">
        <v>24</v>
      </c>
      <c r="U53" s="31">
        <v>10</v>
      </c>
      <c r="V53" s="31" t="s">
        <v>24</v>
      </c>
      <c r="W53" s="31">
        <v>7.59</v>
      </c>
      <c r="X53" s="31" t="s">
        <v>24</v>
      </c>
      <c r="Y53" s="31" t="s">
        <v>2074</v>
      </c>
      <c r="AA53" s="31" t="s">
        <v>938</v>
      </c>
      <c r="AB53" s="31" t="s">
        <v>24</v>
      </c>
      <c r="AE53" s="31" t="s">
        <v>2075</v>
      </c>
    </row>
    <row r="54" spans="1:37" s="11" customFormat="1" ht="13" customHeight="1">
      <c r="B54" s="31" t="s">
        <v>1144</v>
      </c>
      <c r="C54" s="110" t="s">
        <v>2396</v>
      </c>
      <c r="D54" s="110"/>
      <c r="E54" s="146" t="s">
        <v>1326</v>
      </c>
      <c r="F54" s="30"/>
      <c r="G54" s="116">
        <v>11</v>
      </c>
      <c r="H54" s="116">
        <v>5</v>
      </c>
      <c r="I54" s="109">
        <v>8.83</v>
      </c>
      <c r="J54" s="137">
        <f>(11.92-5.11)/4</f>
        <v>1.7024999999999999</v>
      </c>
      <c r="K54" s="110" t="s">
        <v>1339</v>
      </c>
      <c r="L54" s="110"/>
      <c r="M54" s="110">
        <v>108.71</v>
      </c>
      <c r="N54" s="110">
        <v>12.3</v>
      </c>
      <c r="O54" s="110" t="s">
        <v>24</v>
      </c>
      <c r="P54" s="110"/>
      <c r="Q54" s="107">
        <v>388</v>
      </c>
      <c r="R54" s="107">
        <v>127</v>
      </c>
      <c r="S54" s="107"/>
      <c r="T54" s="110" t="s">
        <v>24</v>
      </c>
      <c r="U54" s="116">
        <v>11</v>
      </c>
      <c r="V54" s="116">
        <v>4</v>
      </c>
      <c r="W54" s="116">
        <v>8.83</v>
      </c>
      <c r="X54" s="139">
        <f>(12.75-6.17)/4</f>
        <v>1.645</v>
      </c>
      <c r="Y54" s="116" t="s">
        <v>1341</v>
      </c>
      <c r="Z54" s="116"/>
      <c r="AA54" s="116" t="s">
        <v>1143</v>
      </c>
      <c r="AB54" s="31" t="s">
        <v>24</v>
      </c>
      <c r="AC54" s="30" t="s">
        <v>24</v>
      </c>
      <c r="AD54" s="30"/>
      <c r="AE54" s="110" t="s">
        <v>1337</v>
      </c>
      <c r="AF54" s="30" t="s">
        <v>1195</v>
      </c>
      <c r="AG54" s="30"/>
      <c r="AH54" s="110"/>
      <c r="AI54" s="31"/>
      <c r="AJ54" s="31" t="s">
        <v>1338</v>
      </c>
      <c r="AK54" s="31"/>
    </row>
    <row r="55" spans="1:37" s="11" customFormat="1" ht="13" customHeight="1">
      <c r="B55" s="31" t="s">
        <v>1144</v>
      </c>
      <c r="C55" s="110" t="s">
        <v>1254</v>
      </c>
      <c r="D55" s="110" t="s">
        <v>1897</v>
      </c>
      <c r="E55" s="110" t="s">
        <v>242</v>
      </c>
      <c r="F55" s="30"/>
      <c r="G55" s="116">
        <v>30</v>
      </c>
      <c r="H55" s="116">
        <v>17</v>
      </c>
      <c r="I55" s="109">
        <v>12.7</v>
      </c>
      <c r="J55" s="11">
        <v>1.1000000000000001</v>
      </c>
      <c r="K55" s="354" t="s">
        <v>1255</v>
      </c>
      <c r="L55" s="110"/>
      <c r="M55" s="31" t="s">
        <v>1898</v>
      </c>
      <c r="N55" s="31" t="s">
        <v>24</v>
      </c>
      <c r="O55" s="110" t="s">
        <v>24</v>
      </c>
      <c r="P55" s="110"/>
      <c r="Q55" s="107">
        <v>494</v>
      </c>
      <c r="R55" s="107">
        <v>291</v>
      </c>
      <c r="S55" s="107"/>
      <c r="T55" s="110" t="s">
        <v>24</v>
      </c>
      <c r="U55" s="116">
        <v>34</v>
      </c>
      <c r="V55" s="116">
        <v>12</v>
      </c>
      <c r="W55" s="116">
        <v>13</v>
      </c>
      <c r="X55" s="139">
        <v>1.2</v>
      </c>
      <c r="Y55" s="354" t="s">
        <v>1255</v>
      </c>
      <c r="Z55" s="116"/>
      <c r="AA55" s="116" t="s">
        <v>1143</v>
      </c>
      <c r="AB55" s="31" t="s">
        <v>24</v>
      </c>
      <c r="AC55" s="30" t="s">
        <v>24</v>
      </c>
      <c r="AD55" s="30"/>
      <c r="AE55" s="110" t="s">
        <v>1899</v>
      </c>
      <c r="AF55" s="30" t="s">
        <v>1195</v>
      </c>
      <c r="AG55" s="30"/>
      <c r="AH55" s="110" t="s">
        <v>24</v>
      </c>
      <c r="AI55" s="31"/>
      <c r="AJ55" s="31"/>
      <c r="AK55" s="31"/>
    </row>
    <row r="56" spans="1:37" ht="13" customHeight="1">
      <c r="B56" s="646" t="s">
        <v>1144</v>
      </c>
      <c r="C56" s="645" t="s">
        <v>1303</v>
      </c>
      <c r="D56" s="496" t="s">
        <v>2419</v>
      </c>
      <c r="E56" s="110" t="s">
        <v>242</v>
      </c>
      <c r="F56" s="30"/>
      <c r="G56" s="116">
        <v>21</v>
      </c>
      <c r="H56" s="116" t="s">
        <v>24</v>
      </c>
      <c r="I56" s="120">
        <v>10.6</v>
      </c>
      <c r="J56" s="110">
        <v>2.5</v>
      </c>
      <c r="K56" s="133" t="s">
        <v>24</v>
      </c>
      <c r="L56" s="110"/>
      <c r="M56" s="110" t="s">
        <v>1898</v>
      </c>
      <c r="N56" s="110" t="s">
        <v>24</v>
      </c>
      <c r="O56" s="110" t="s">
        <v>24</v>
      </c>
      <c r="P56" s="110"/>
      <c r="Q56" s="11">
        <v>590</v>
      </c>
      <c r="R56" s="11">
        <v>248</v>
      </c>
      <c r="T56" s="110" t="s">
        <v>24</v>
      </c>
      <c r="U56" s="116">
        <v>73</v>
      </c>
      <c r="V56" s="116">
        <v>29</v>
      </c>
      <c r="W56" s="139">
        <v>10.9</v>
      </c>
      <c r="X56" s="139">
        <v>2.2000000000000002</v>
      </c>
      <c r="Y56" s="138" t="s">
        <v>1287</v>
      </c>
      <c r="Z56" s="116"/>
      <c r="AA56" s="116" t="s">
        <v>1143</v>
      </c>
      <c r="AB56" s="31" t="s">
        <v>24</v>
      </c>
      <c r="AC56" s="30" t="s">
        <v>24</v>
      </c>
      <c r="AE56" s="30" t="s">
        <v>1900</v>
      </c>
      <c r="AF56" s="110" t="s">
        <v>24</v>
      </c>
      <c r="AG56" s="30"/>
      <c r="AH56" s="30" t="s">
        <v>24</v>
      </c>
      <c r="AI56" s="110"/>
    </row>
    <row r="57" spans="1:37" ht="13" customHeight="1">
      <c r="A57" s="31" t="s">
        <v>2013</v>
      </c>
      <c r="B57" s="646"/>
      <c r="C57" s="645"/>
      <c r="D57" s="496" t="s">
        <v>2427</v>
      </c>
      <c r="E57" s="110" t="s">
        <v>242</v>
      </c>
      <c r="F57" s="30"/>
      <c r="G57" s="116">
        <v>63</v>
      </c>
      <c r="H57" s="116">
        <v>33</v>
      </c>
      <c r="I57" s="120">
        <v>10.8</v>
      </c>
      <c r="J57" s="110">
        <v>2.2999999999999998</v>
      </c>
      <c r="K57" s="133" t="s">
        <v>1288</v>
      </c>
      <c r="L57" s="110"/>
      <c r="M57" s="110"/>
      <c r="N57" s="110"/>
      <c r="O57" s="110"/>
      <c r="P57" s="110"/>
      <c r="Q57" s="158">
        <v>439</v>
      </c>
      <c r="R57" s="158">
        <v>248.7</v>
      </c>
      <c r="S57" s="158"/>
      <c r="T57" s="110"/>
      <c r="U57" s="116"/>
      <c r="V57" s="116"/>
      <c r="W57" s="139"/>
      <c r="X57" s="116"/>
      <c r="Y57" s="138"/>
      <c r="Z57" s="116"/>
      <c r="AA57" s="116"/>
      <c r="AC57" s="30"/>
      <c r="AE57" s="30"/>
      <c r="AF57" s="110"/>
      <c r="AG57" s="30"/>
      <c r="AH57" s="30"/>
      <c r="AI57" s="110"/>
    </row>
    <row r="58" spans="1:37" ht="13" customHeight="1">
      <c r="B58" s="31" t="s">
        <v>1144</v>
      </c>
      <c r="C58" s="110" t="s">
        <v>1165</v>
      </c>
      <c r="D58" s="110"/>
      <c r="E58" s="110" t="s">
        <v>253</v>
      </c>
      <c r="F58" s="30"/>
      <c r="G58" s="116">
        <v>42</v>
      </c>
      <c r="H58" s="116">
        <v>23</v>
      </c>
      <c r="I58" s="109">
        <v>11.8</v>
      </c>
      <c r="J58" s="110">
        <v>3.5</v>
      </c>
      <c r="K58" s="133" t="s">
        <v>609</v>
      </c>
      <c r="L58" s="133"/>
      <c r="M58" s="110">
        <v>106</v>
      </c>
      <c r="N58" s="110">
        <v>10.9</v>
      </c>
      <c r="O58" s="110" t="s">
        <v>1901</v>
      </c>
      <c r="P58" s="110"/>
      <c r="Q58" s="11">
        <v>546</v>
      </c>
      <c r="R58" s="11">
        <v>331</v>
      </c>
      <c r="T58" s="110" t="s">
        <v>606</v>
      </c>
      <c r="U58" s="31">
        <v>81</v>
      </c>
      <c r="V58" s="116">
        <v>42</v>
      </c>
      <c r="W58" s="31">
        <v>12.3</v>
      </c>
      <c r="X58" s="28">
        <v>3.2</v>
      </c>
      <c r="Y58" s="37" t="s">
        <v>609</v>
      </c>
      <c r="Z58" s="37"/>
      <c r="AA58" s="31">
        <v>114.6</v>
      </c>
      <c r="AB58" s="31">
        <v>13.9</v>
      </c>
      <c r="AC58" s="30" t="s">
        <v>611</v>
      </c>
      <c r="AD58" s="30"/>
      <c r="AE58" s="110" t="s">
        <v>1196</v>
      </c>
      <c r="AF58" s="30" t="s">
        <v>1195</v>
      </c>
      <c r="AG58" s="30"/>
      <c r="AH58" s="110" t="s">
        <v>24</v>
      </c>
    </row>
    <row r="59" spans="1:37" ht="13" customHeight="1">
      <c r="B59" s="31" t="s">
        <v>1144</v>
      </c>
      <c r="C59" s="110" t="s">
        <v>1204</v>
      </c>
      <c r="D59" s="110"/>
      <c r="E59" s="110" t="s">
        <v>1902</v>
      </c>
      <c r="F59" s="30"/>
      <c r="G59" s="31">
        <v>14</v>
      </c>
      <c r="H59" s="116">
        <v>12</v>
      </c>
      <c r="I59" s="109">
        <v>10.8</v>
      </c>
      <c r="J59" s="110">
        <f>(13-8)/4</f>
        <v>1.25</v>
      </c>
      <c r="K59" s="133" t="s">
        <v>1193</v>
      </c>
      <c r="L59" s="110"/>
      <c r="M59" s="110">
        <v>102.14</v>
      </c>
      <c r="N59" s="110">
        <v>10.210000000000001</v>
      </c>
      <c r="O59" s="110" t="s">
        <v>1224</v>
      </c>
      <c r="P59" s="110"/>
      <c r="Q59" s="158">
        <v>491</v>
      </c>
      <c r="R59" s="158">
        <v>149.19999999999999</v>
      </c>
      <c r="S59" s="158"/>
      <c r="T59" s="137" t="s">
        <v>1226</v>
      </c>
      <c r="U59" s="116">
        <v>14</v>
      </c>
      <c r="V59" s="116">
        <v>12</v>
      </c>
      <c r="W59" s="139">
        <v>10.9</v>
      </c>
      <c r="X59" s="137">
        <f>(13-8)/4</f>
        <v>1.25</v>
      </c>
      <c r="Y59" s="138" t="s">
        <v>1193</v>
      </c>
      <c r="Z59" s="116"/>
      <c r="AA59" s="116">
        <v>108.8</v>
      </c>
      <c r="AB59" s="31">
        <v>12.7</v>
      </c>
      <c r="AC59" s="30" t="s">
        <v>1225</v>
      </c>
      <c r="AD59" s="30"/>
      <c r="AE59" s="110" t="s">
        <v>1222</v>
      </c>
      <c r="AF59" s="30" t="s">
        <v>1195</v>
      </c>
      <c r="AG59" s="30"/>
      <c r="AH59" s="110"/>
      <c r="AJ59" s="31" t="s">
        <v>1223</v>
      </c>
    </row>
    <row r="60" spans="1:37" ht="13" customHeight="1">
      <c r="B60" s="31" t="s">
        <v>1144</v>
      </c>
      <c r="C60" s="110" t="s">
        <v>1300</v>
      </c>
      <c r="D60" s="110"/>
      <c r="E60" s="110" t="s">
        <v>1903</v>
      </c>
      <c r="F60" s="30"/>
      <c r="G60" s="116">
        <v>19</v>
      </c>
      <c r="H60" s="116">
        <v>10</v>
      </c>
      <c r="I60" s="109">
        <v>9.4</v>
      </c>
      <c r="J60" s="110">
        <v>2.9</v>
      </c>
      <c r="K60" s="133" t="s">
        <v>508</v>
      </c>
      <c r="L60" s="110"/>
      <c r="M60" s="110">
        <v>101</v>
      </c>
      <c r="N60" s="110">
        <v>10.4</v>
      </c>
      <c r="O60" s="110" t="s">
        <v>1904</v>
      </c>
      <c r="P60" s="110"/>
      <c r="Q60" s="158">
        <v>777.2</v>
      </c>
      <c r="R60" s="158">
        <v>199.9</v>
      </c>
      <c r="S60" s="158"/>
      <c r="T60" s="137" t="s">
        <v>1299</v>
      </c>
      <c r="U60" s="116">
        <v>19</v>
      </c>
      <c r="V60" s="116">
        <v>10</v>
      </c>
      <c r="W60" s="139">
        <v>9.3000000000000007</v>
      </c>
      <c r="X60" s="139">
        <v>2.9</v>
      </c>
      <c r="Y60" s="138" t="s">
        <v>1298</v>
      </c>
      <c r="Z60" s="116"/>
      <c r="AA60" s="116">
        <v>101</v>
      </c>
      <c r="AB60" s="31">
        <v>12</v>
      </c>
      <c r="AC60" s="30" t="s">
        <v>1905</v>
      </c>
      <c r="AE60" s="30" t="s">
        <v>1143</v>
      </c>
      <c r="AF60" s="110" t="s">
        <v>24</v>
      </c>
      <c r="AG60" s="30"/>
      <c r="AH60" s="30" t="s">
        <v>24</v>
      </c>
      <c r="AI60" s="110"/>
    </row>
    <row r="61" spans="1:37" ht="13" customHeight="1">
      <c r="B61" s="31" t="s">
        <v>1144</v>
      </c>
      <c r="C61" s="110" t="s">
        <v>1301</v>
      </c>
      <c r="D61" s="110"/>
      <c r="E61" s="110" t="s">
        <v>242</v>
      </c>
      <c r="F61" s="30"/>
      <c r="G61" s="116">
        <v>36</v>
      </c>
      <c r="H61" s="116">
        <v>16</v>
      </c>
      <c r="I61" s="109">
        <v>13.3</v>
      </c>
      <c r="J61" s="110">
        <v>3</v>
      </c>
      <c r="K61" s="133" t="s">
        <v>1297</v>
      </c>
      <c r="L61" s="110"/>
      <c r="M61" s="110">
        <v>98</v>
      </c>
      <c r="N61" s="110">
        <v>13</v>
      </c>
      <c r="O61" s="110" t="s">
        <v>1296</v>
      </c>
      <c r="P61" s="110"/>
      <c r="Q61" s="158">
        <v>455</v>
      </c>
      <c r="R61" s="158">
        <v>250</v>
      </c>
      <c r="S61" s="158"/>
      <c r="T61" s="110" t="s">
        <v>1295</v>
      </c>
      <c r="U61" s="116">
        <v>36</v>
      </c>
      <c r="V61" s="116">
        <v>16</v>
      </c>
      <c r="W61" s="139">
        <v>13.2</v>
      </c>
      <c r="X61" s="139">
        <v>3</v>
      </c>
      <c r="Y61" s="138" t="s">
        <v>1294</v>
      </c>
      <c r="Z61" s="116"/>
      <c r="AA61" s="116">
        <v>105</v>
      </c>
      <c r="AB61" s="31">
        <v>11</v>
      </c>
      <c r="AC61" s="30" t="s">
        <v>1293</v>
      </c>
      <c r="AE61" s="30" t="s">
        <v>1906</v>
      </c>
      <c r="AF61" s="110" t="s">
        <v>1195</v>
      </c>
      <c r="AG61" s="30"/>
      <c r="AH61" s="30" t="s">
        <v>1907</v>
      </c>
      <c r="AI61" s="110"/>
    </row>
    <row r="62" spans="1:37" ht="13" customHeight="1">
      <c r="B62" s="31" t="s">
        <v>1144</v>
      </c>
      <c r="C62" s="110" t="s">
        <v>1438</v>
      </c>
      <c r="D62" s="110"/>
      <c r="E62" s="110" t="s">
        <v>1175</v>
      </c>
      <c r="F62" s="30"/>
      <c r="G62" s="116">
        <v>15</v>
      </c>
      <c r="H62" s="116">
        <v>7</v>
      </c>
      <c r="I62" s="120">
        <v>10.3</v>
      </c>
      <c r="J62" s="31">
        <v>2.2000000000000002</v>
      </c>
      <c r="K62" s="37" t="s">
        <v>709</v>
      </c>
      <c r="L62" s="110"/>
      <c r="M62" s="110">
        <v>95.46</v>
      </c>
      <c r="N62" s="110">
        <v>12.5</v>
      </c>
      <c r="O62" s="110" t="s">
        <v>1439</v>
      </c>
      <c r="P62" s="110"/>
      <c r="Q62" s="158">
        <v>289</v>
      </c>
      <c r="R62" s="11">
        <v>81</v>
      </c>
      <c r="T62" s="110" t="s">
        <v>712</v>
      </c>
      <c r="U62" s="116">
        <v>14</v>
      </c>
      <c r="V62" s="116">
        <v>8</v>
      </c>
      <c r="W62" s="139">
        <f>122.36/12</f>
        <v>10.196666666666667</v>
      </c>
      <c r="X62" s="139">
        <f>23.9/12</f>
        <v>1.9916666666666665</v>
      </c>
      <c r="Y62" s="37" t="s">
        <v>709</v>
      </c>
      <c r="Z62" s="116"/>
      <c r="AA62" s="116" t="s">
        <v>1143</v>
      </c>
      <c r="AB62" s="31" t="s">
        <v>24</v>
      </c>
      <c r="AC62" s="30" t="s">
        <v>24</v>
      </c>
      <c r="AE62" s="11" t="s">
        <v>713</v>
      </c>
      <c r="AF62" s="30" t="s">
        <v>1195</v>
      </c>
      <c r="AG62" s="30"/>
      <c r="AH62" s="30" t="s">
        <v>24</v>
      </c>
      <c r="AI62" s="110"/>
    </row>
    <row r="63" spans="1:37" ht="13" customHeight="1">
      <c r="B63" s="31" t="s">
        <v>1144</v>
      </c>
      <c r="C63" s="113" t="s">
        <v>417</v>
      </c>
      <c r="D63" s="110"/>
      <c r="E63" s="110" t="s">
        <v>226</v>
      </c>
      <c r="F63" s="30"/>
      <c r="G63" s="116">
        <v>20</v>
      </c>
      <c r="H63" s="116">
        <v>10</v>
      </c>
      <c r="I63" s="109">
        <v>10.1</v>
      </c>
      <c r="J63" s="110">
        <v>1.3</v>
      </c>
      <c r="K63" s="110" t="s">
        <v>486</v>
      </c>
      <c r="L63" s="110"/>
      <c r="M63" s="110">
        <v>101.4</v>
      </c>
      <c r="N63" s="110">
        <v>10</v>
      </c>
      <c r="O63" s="110" t="s">
        <v>460</v>
      </c>
      <c r="P63" s="110"/>
      <c r="Q63" s="110">
        <v>583</v>
      </c>
      <c r="R63" s="110">
        <v>377</v>
      </c>
      <c r="T63" s="110" t="s">
        <v>462</v>
      </c>
      <c r="U63" s="116">
        <v>20</v>
      </c>
      <c r="V63" s="116">
        <v>10</v>
      </c>
      <c r="W63" s="116">
        <v>11</v>
      </c>
      <c r="X63" s="139">
        <v>1.1000000000000001</v>
      </c>
      <c r="Y63" s="116" t="s">
        <v>487</v>
      </c>
      <c r="Z63" s="116"/>
      <c r="AA63" s="28">
        <v>104.7</v>
      </c>
      <c r="AB63" s="28">
        <v>9.5</v>
      </c>
      <c r="AC63" s="30" t="s">
        <v>461</v>
      </c>
      <c r="AD63" s="30"/>
      <c r="AE63" s="110" t="s">
        <v>218</v>
      </c>
      <c r="AF63" s="30" t="s">
        <v>1163</v>
      </c>
      <c r="AG63" s="30"/>
      <c r="AH63" s="110" t="s">
        <v>1908</v>
      </c>
      <c r="AI63" s="110"/>
    </row>
    <row r="64" spans="1:37" ht="13" customHeight="1">
      <c r="B64" s="31" t="s">
        <v>1144</v>
      </c>
      <c r="C64" s="113" t="s">
        <v>470</v>
      </c>
      <c r="D64" s="113" t="s">
        <v>2421</v>
      </c>
      <c r="E64" s="113" t="s">
        <v>226</v>
      </c>
      <c r="F64" s="476"/>
      <c r="G64" s="459">
        <v>20</v>
      </c>
      <c r="H64" s="459">
        <v>10</v>
      </c>
      <c r="I64" s="114">
        <v>10.1</v>
      </c>
      <c r="J64" s="113">
        <v>1.3</v>
      </c>
      <c r="K64" s="113" t="s">
        <v>486</v>
      </c>
      <c r="L64" s="113"/>
      <c r="M64" s="113">
        <v>101.4</v>
      </c>
      <c r="N64" s="113">
        <v>10</v>
      </c>
      <c r="O64" s="113" t="s">
        <v>460</v>
      </c>
      <c r="P64" s="113"/>
      <c r="Q64" s="113">
        <v>583</v>
      </c>
      <c r="R64" s="113">
        <v>377</v>
      </c>
      <c r="S64" s="458"/>
      <c r="T64" s="113" t="s">
        <v>462</v>
      </c>
      <c r="U64" s="459">
        <v>20</v>
      </c>
      <c r="V64" s="459">
        <v>10</v>
      </c>
      <c r="W64" s="459">
        <v>11</v>
      </c>
      <c r="X64" s="470">
        <v>1.1000000000000001</v>
      </c>
      <c r="Y64" s="459" t="s">
        <v>487</v>
      </c>
      <c r="Z64" s="459"/>
      <c r="AA64" s="524">
        <v>104.7</v>
      </c>
      <c r="AB64" s="524">
        <v>9.5</v>
      </c>
      <c r="AC64" s="476" t="s">
        <v>461</v>
      </c>
      <c r="AD64" s="476"/>
      <c r="AE64" s="113" t="s">
        <v>218</v>
      </c>
      <c r="AF64" s="476" t="s">
        <v>1163</v>
      </c>
      <c r="AG64" s="476"/>
      <c r="AH64" s="113" t="s">
        <v>1908</v>
      </c>
      <c r="AI64" s="113"/>
      <c r="AJ64" s="462"/>
    </row>
    <row r="65" spans="1:37" ht="13" customHeight="1">
      <c r="B65" s="31" t="s">
        <v>1144</v>
      </c>
      <c r="C65" s="110" t="s">
        <v>1305</v>
      </c>
      <c r="D65" s="31" t="s">
        <v>2423</v>
      </c>
      <c r="E65" s="110" t="s">
        <v>226</v>
      </c>
      <c r="F65" s="30"/>
      <c r="G65" s="116">
        <v>20</v>
      </c>
      <c r="H65" s="116">
        <v>10</v>
      </c>
      <c r="I65" s="109">
        <v>13.9</v>
      </c>
      <c r="J65" s="110">
        <v>1.3</v>
      </c>
      <c r="K65" s="133" t="s">
        <v>1309</v>
      </c>
      <c r="L65" s="110"/>
      <c r="M65" s="116">
        <v>107.4</v>
      </c>
      <c r="N65" s="31">
        <v>10.199999999999999</v>
      </c>
      <c r="O65" s="30" t="s">
        <v>1909</v>
      </c>
      <c r="P65" s="110"/>
      <c r="Q65" s="158">
        <v>744</v>
      </c>
      <c r="R65" s="158">
        <v>456</v>
      </c>
      <c r="S65" s="158"/>
      <c r="T65" s="110" t="s">
        <v>1307</v>
      </c>
      <c r="U65" s="116">
        <v>20</v>
      </c>
      <c r="V65" s="116">
        <v>10</v>
      </c>
      <c r="W65" s="139">
        <v>14</v>
      </c>
      <c r="X65" s="139">
        <v>1.1000000000000001</v>
      </c>
      <c r="Y65" s="138" t="s">
        <v>1308</v>
      </c>
      <c r="Z65" s="116"/>
      <c r="AA65" s="31">
        <v>108.2</v>
      </c>
      <c r="AB65" s="31">
        <v>8.5</v>
      </c>
      <c r="AC65" s="31" t="s">
        <v>1910</v>
      </c>
      <c r="AE65" s="30" t="s">
        <v>1911</v>
      </c>
      <c r="AF65" s="110" t="s">
        <v>24</v>
      </c>
      <c r="AG65" s="30"/>
      <c r="AH65" s="30" t="s">
        <v>1908</v>
      </c>
      <c r="AI65" s="110"/>
    </row>
    <row r="66" spans="1:37" ht="13" customHeight="1">
      <c r="B66" s="31" t="s">
        <v>1144</v>
      </c>
      <c r="C66" s="110" t="s">
        <v>618</v>
      </c>
      <c r="D66" s="110"/>
      <c r="E66" s="110" t="s">
        <v>253</v>
      </c>
      <c r="F66" s="30"/>
      <c r="G66" s="116">
        <v>23</v>
      </c>
      <c r="H66" s="116">
        <v>12</v>
      </c>
      <c r="I66" s="155">
        <v>10.7</v>
      </c>
      <c r="J66" s="11">
        <v>3.4</v>
      </c>
      <c r="K66" s="42" t="s">
        <v>653</v>
      </c>
      <c r="L66" s="42"/>
      <c r="M66" s="11">
        <v>106</v>
      </c>
      <c r="N66" s="11">
        <v>19</v>
      </c>
      <c r="O66" s="11" t="s">
        <v>24</v>
      </c>
      <c r="P66" s="11"/>
      <c r="Q66" s="11">
        <v>496.4</v>
      </c>
      <c r="R66" s="11">
        <v>230</v>
      </c>
      <c r="T66" s="42" t="s">
        <v>690</v>
      </c>
      <c r="U66" s="116">
        <v>23</v>
      </c>
      <c r="V66" s="116">
        <v>12</v>
      </c>
      <c r="W66" s="11">
        <v>11.1</v>
      </c>
      <c r="X66" s="481">
        <v>3.7</v>
      </c>
      <c r="Y66" s="42" t="s">
        <v>653</v>
      </c>
      <c r="Z66" s="42"/>
      <c r="AA66" s="11">
        <v>113</v>
      </c>
      <c r="AB66" s="11">
        <v>19</v>
      </c>
      <c r="AC66" s="30" t="s">
        <v>24</v>
      </c>
      <c r="AD66" s="30"/>
      <c r="AE66" s="110" t="s">
        <v>1912</v>
      </c>
      <c r="AF66" s="30" t="s">
        <v>1913</v>
      </c>
      <c r="AG66" s="30"/>
      <c r="AH66" s="110" t="s">
        <v>24</v>
      </c>
    </row>
    <row r="67" spans="1:37" ht="13" customHeight="1">
      <c r="B67" s="31" t="s">
        <v>1144</v>
      </c>
      <c r="C67" s="110" t="s">
        <v>1166</v>
      </c>
      <c r="D67" s="110"/>
      <c r="E67" s="110" t="s">
        <v>253</v>
      </c>
      <c r="F67" s="30"/>
      <c r="G67" s="116">
        <v>26</v>
      </c>
      <c r="H67" s="116">
        <v>13</v>
      </c>
      <c r="I67" s="155">
        <v>11.2</v>
      </c>
      <c r="J67" s="11">
        <v>3.1</v>
      </c>
      <c r="K67" s="42" t="s">
        <v>683</v>
      </c>
      <c r="L67" s="42"/>
      <c r="M67" s="11">
        <v>102.2</v>
      </c>
      <c r="N67" s="11">
        <v>9.9</v>
      </c>
      <c r="O67" s="11" t="s">
        <v>686</v>
      </c>
      <c r="P67" s="11"/>
      <c r="Q67" s="11">
        <v>423.8</v>
      </c>
      <c r="R67" s="11">
        <v>339</v>
      </c>
      <c r="T67" s="11" t="s">
        <v>1203</v>
      </c>
      <c r="U67" s="116">
        <v>25</v>
      </c>
      <c r="V67" s="116">
        <v>14</v>
      </c>
      <c r="W67" s="11">
        <v>11.3</v>
      </c>
      <c r="X67" s="481">
        <v>3.4</v>
      </c>
      <c r="Y67" s="42" t="s">
        <v>609</v>
      </c>
      <c r="Z67" s="42"/>
      <c r="AA67" s="11">
        <v>107.7</v>
      </c>
      <c r="AB67" s="11">
        <v>10.6</v>
      </c>
      <c r="AC67" s="42" t="s">
        <v>688</v>
      </c>
      <c r="AD67" s="42"/>
      <c r="AE67" s="110" t="s">
        <v>1896</v>
      </c>
      <c r="AF67" s="30" t="s">
        <v>924</v>
      </c>
      <c r="AG67" s="30"/>
      <c r="AH67" s="110" t="s">
        <v>1915</v>
      </c>
    </row>
    <row r="68" spans="1:37" ht="13" customHeight="1">
      <c r="A68" s="503" t="s">
        <v>2013</v>
      </c>
      <c r="B68" s="31" t="s">
        <v>1144</v>
      </c>
      <c r="C68" s="528" t="s">
        <v>2407</v>
      </c>
      <c r="D68" s="528"/>
      <c r="E68" s="528" t="s">
        <v>2441</v>
      </c>
      <c r="F68" s="529"/>
      <c r="G68" s="530">
        <v>9</v>
      </c>
      <c r="H68" s="530">
        <v>4</v>
      </c>
      <c r="I68" s="531">
        <v>9.1999999999999993</v>
      </c>
      <c r="J68" s="515">
        <v>2</v>
      </c>
      <c r="K68" s="532" t="s">
        <v>2440</v>
      </c>
      <c r="L68" s="533">
        <v>99</v>
      </c>
      <c r="M68" s="515"/>
      <c r="N68" s="515">
        <v>8.1</v>
      </c>
      <c r="O68" s="515" t="s">
        <v>24</v>
      </c>
      <c r="P68" s="515"/>
      <c r="Q68" s="515">
        <v>297</v>
      </c>
      <c r="R68" s="515">
        <v>165</v>
      </c>
      <c r="T68" s="11" t="s">
        <v>24</v>
      </c>
      <c r="U68" s="116">
        <v>9</v>
      </c>
      <c r="V68" s="116">
        <v>5</v>
      </c>
      <c r="W68" s="11">
        <v>9.1999999999999993</v>
      </c>
      <c r="X68" s="481">
        <v>1.9</v>
      </c>
      <c r="Y68" s="516" t="s">
        <v>2440</v>
      </c>
      <c r="Z68" s="42"/>
      <c r="AA68" s="11">
        <v>103</v>
      </c>
      <c r="AB68" s="11">
        <v>7.9</v>
      </c>
      <c r="AC68" s="42" t="s">
        <v>24</v>
      </c>
      <c r="AD68" s="42"/>
      <c r="AE68" s="110" t="s">
        <v>1196</v>
      </c>
      <c r="AF68" s="30" t="s">
        <v>1913</v>
      </c>
      <c r="AG68" s="30"/>
      <c r="AH68" s="110"/>
    </row>
    <row r="69" spans="1:37" ht="13" customHeight="1">
      <c r="B69" s="31" t="s">
        <v>1144</v>
      </c>
      <c r="C69" s="110" t="s">
        <v>1340</v>
      </c>
      <c r="D69" s="110"/>
      <c r="E69" s="110" t="s">
        <v>1324</v>
      </c>
      <c r="F69" s="30"/>
      <c r="G69" s="116">
        <v>26</v>
      </c>
      <c r="H69" s="116">
        <v>12</v>
      </c>
      <c r="I69" s="109">
        <v>12.3</v>
      </c>
      <c r="J69" s="110">
        <v>3.7</v>
      </c>
      <c r="K69" s="110" t="s">
        <v>1512</v>
      </c>
      <c r="L69" s="110"/>
      <c r="M69" s="110">
        <v>102</v>
      </c>
      <c r="N69" s="110">
        <v>9</v>
      </c>
      <c r="O69" s="110" t="s">
        <v>24</v>
      </c>
      <c r="P69" s="110"/>
      <c r="Q69" s="107">
        <f>(449+529)/2</f>
        <v>489</v>
      </c>
      <c r="R69" s="107">
        <f>(220+142)/2</f>
        <v>181</v>
      </c>
      <c r="S69" s="107"/>
      <c r="T69" s="110" t="s">
        <v>24</v>
      </c>
      <c r="U69" s="116">
        <v>21</v>
      </c>
      <c r="V69" s="116">
        <v>10</v>
      </c>
      <c r="W69" s="116">
        <v>11.8</v>
      </c>
      <c r="X69" s="139">
        <v>3.6</v>
      </c>
      <c r="Y69" s="116" t="s">
        <v>1323</v>
      </c>
      <c r="Z69" s="116"/>
      <c r="AA69" s="116">
        <v>112</v>
      </c>
      <c r="AB69" s="31">
        <v>8</v>
      </c>
      <c r="AC69" s="30" t="s">
        <v>24</v>
      </c>
      <c r="AD69" s="30"/>
      <c r="AE69" s="110" t="s">
        <v>1196</v>
      </c>
      <c r="AF69" s="30" t="s">
        <v>1195</v>
      </c>
      <c r="AG69" s="30"/>
      <c r="AH69" s="110" t="s">
        <v>1920</v>
      </c>
    </row>
    <row r="70" spans="1:37" ht="13" customHeight="1">
      <c r="B70" s="120" t="s">
        <v>2041</v>
      </c>
      <c r="C70" s="358" t="s">
        <v>1891</v>
      </c>
      <c r="D70" s="359"/>
      <c r="E70" s="359"/>
      <c r="F70" s="452"/>
      <c r="G70" s="360">
        <f>AVERAGE(G65:G69,G49:G63,G47)</f>
        <v>24.904761904761905</v>
      </c>
      <c r="H70" s="360">
        <f>AVERAGE(H65:H69,H49:H63,H47)</f>
        <v>12.7</v>
      </c>
      <c r="I70" s="360">
        <f>AVERAGE(I65:I69,I49:I63,I47)</f>
        <v>11.00809523809524</v>
      </c>
      <c r="J70" s="360">
        <f>AVERAGE(J65:J69,J49:J63,J47)</f>
        <v>2.4256349206349208</v>
      </c>
      <c r="K70" s="360"/>
      <c r="L70" s="360"/>
      <c r="M70" s="360">
        <f>AVERAGE(M65:M69,M49:M63,M47)</f>
        <v>98.000714285714295</v>
      </c>
      <c r="N70" s="360">
        <f>AVERAGE(N65:N69,N49:N63,N47)</f>
        <v>11.129285714285714</v>
      </c>
      <c r="O70" s="360"/>
      <c r="P70" s="360"/>
      <c r="Q70" s="360">
        <f>AVERAGE(Q65:Q69,Q49:Q63,Q47)</f>
        <v>522.36293000000001</v>
      </c>
      <c r="R70" s="360">
        <f>AVERAGE(R65:R69,R49:R63,R47)</f>
        <v>242.47433799999999</v>
      </c>
      <c r="S70" s="360"/>
      <c r="T70" s="360"/>
      <c r="U70" s="360">
        <f>AVERAGE(U65:U69,U49:U63,U47)</f>
        <v>27.25</v>
      </c>
      <c r="V70" s="360">
        <f>AVERAGE(V65:V69,V49:V63,V47)</f>
        <v>13.631578947368421</v>
      </c>
      <c r="W70" s="360">
        <f>AVERAGE(W65:W69,W49:W63,W47)</f>
        <v>11.060333333333334</v>
      </c>
      <c r="X70" s="360">
        <f>AVERAGE(X65:X69,X49:X63,X47)</f>
        <v>2.3278070175438597</v>
      </c>
      <c r="Y70" s="482"/>
      <c r="Z70" s="42"/>
      <c r="AA70" s="170">
        <f>AVERAGE(AA47:AA69)</f>
        <v>102.13875</v>
      </c>
      <c r="AB70" s="170">
        <f>AVERAGE(AB47:AB69)</f>
        <v>10.8375</v>
      </c>
      <c r="AC70" s="30"/>
      <c r="AD70" s="30"/>
      <c r="AE70" s="110"/>
      <c r="AG70" s="30"/>
      <c r="AH70" s="110"/>
    </row>
    <row r="71" spans="1:37" ht="13" customHeight="1">
      <c r="C71" s="361" t="s">
        <v>10</v>
      </c>
      <c r="D71" s="359"/>
      <c r="E71" s="359"/>
      <c r="F71" s="452"/>
      <c r="G71" s="362">
        <f>STDEV(G65:G69,G49:G63,G47)</f>
        <v>14.17711099591437</v>
      </c>
      <c r="H71" s="362">
        <f>STDEV(H65:H69,H49:H63,H47)</f>
        <v>7.8008096745752846</v>
      </c>
      <c r="I71" s="362">
        <f>STDEV(I65:I69,I49:I63,I47)</f>
        <v>1.5628455427444408</v>
      </c>
      <c r="J71" s="362">
        <f>STDEV(J65:J69,J49:J63,J47)</f>
        <v>0.90676779861685874</v>
      </c>
      <c r="K71" s="362"/>
      <c r="L71" s="362"/>
      <c r="M71" s="362">
        <f>STDEV(M65:M69,M49:M63,M47)</f>
        <v>19.422083570507436</v>
      </c>
      <c r="N71" s="362">
        <f>STDEV(N65:N69,N49:N63,N47)</f>
        <v>2.6313215874733542</v>
      </c>
      <c r="O71" s="362"/>
      <c r="P71" s="362"/>
      <c r="Q71" s="362">
        <f>STDEV(Q65:Q69,Q49:Q63,Q47)</f>
        <v>155.91246182395247</v>
      </c>
      <c r="R71" s="362">
        <f>STDEV(R65:R69,R49:R63,R47)</f>
        <v>101.0579689977526</v>
      </c>
      <c r="S71" s="362"/>
      <c r="T71" s="362"/>
      <c r="U71" s="362">
        <f>STDEV(U65:U69,U49:U63,U47)</f>
        <v>19.425634176466279</v>
      </c>
      <c r="V71" s="362">
        <f>STDEV(V65:V69,V49:V63,V47)</f>
        <v>8.9889470790879216</v>
      </c>
      <c r="W71" s="362">
        <f>STDEV(W65:W69,W49:W63,W47)</f>
        <v>1.6081895308860366</v>
      </c>
      <c r="X71" s="362">
        <f>STDEV(X65:X69,X49:X63,X47)</f>
        <v>0.92367774239713618</v>
      </c>
      <c r="Y71" s="482"/>
      <c r="Z71" s="42"/>
      <c r="AA71" s="355">
        <f>STDEV(AA47:AA69)</f>
        <v>18.830769456751693</v>
      </c>
      <c r="AB71" s="355">
        <f>STDEV(AB47:AB69)</f>
        <v>3.6029386154452681</v>
      </c>
      <c r="AC71" s="30"/>
      <c r="AD71" s="30"/>
      <c r="AE71" s="110"/>
      <c r="AG71" s="30"/>
      <c r="AH71" s="110"/>
    </row>
    <row r="72" spans="1:37" ht="13" customHeight="1">
      <c r="C72" s="110"/>
      <c r="D72" s="110"/>
      <c r="E72" s="110"/>
      <c r="F72" s="30"/>
      <c r="G72" s="343">
        <f>SUM(G65:G69,G49:G63,G47)</f>
        <v>523</v>
      </c>
      <c r="H72" s="343">
        <f>SUM(H65:H69,H49:H63,H47)</f>
        <v>254</v>
      </c>
      <c r="I72" s="174"/>
      <c r="J72" s="355"/>
      <c r="K72" s="355"/>
      <c r="L72" s="42"/>
      <c r="M72" s="355"/>
      <c r="N72" s="355"/>
      <c r="O72" s="355"/>
      <c r="P72" s="11"/>
      <c r="Q72" s="356"/>
      <c r="R72" s="356"/>
      <c r="S72" s="356"/>
      <c r="T72" s="42"/>
      <c r="U72" s="344">
        <f>SUM(U47:U69)</f>
        <v>599</v>
      </c>
      <c r="V72" s="357">
        <f>SUM(V47:V69)</f>
        <v>283</v>
      </c>
      <c r="W72" s="355"/>
      <c r="X72" s="355"/>
      <c r="Y72" s="42"/>
      <c r="Z72" s="42"/>
      <c r="AA72" s="355"/>
      <c r="AB72" s="355"/>
      <c r="AC72" s="30"/>
      <c r="AD72" s="30"/>
      <c r="AE72" s="110"/>
      <c r="AG72" s="30"/>
      <c r="AH72" s="110"/>
    </row>
    <row r="73" spans="1:37" ht="13" customHeight="1">
      <c r="C73" s="110"/>
      <c r="D73" s="110"/>
      <c r="E73" s="110"/>
      <c r="F73" s="30"/>
      <c r="G73" s="357">
        <f>COUNT(G65:G69,G49:G63,G47)</f>
        <v>21</v>
      </c>
      <c r="H73" s="357"/>
      <c r="I73" s="174"/>
      <c r="J73" s="355"/>
      <c r="K73" s="355"/>
      <c r="L73" s="42"/>
      <c r="M73" s="355"/>
      <c r="N73" s="355"/>
      <c r="O73" s="355"/>
      <c r="P73" s="11"/>
      <c r="Q73" s="356"/>
      <c r="R73" s="356"/>
      <c r="S73" s="356"/>
      <c r="T73" s="42"/>
      <c r="U73" s="357"/>
      <c r="V73" s="357"/>
      <c r="W73" s="355"/>
      <c r="X73" s="355"/>
      <c r="Y73" s="42"/>
      <c r="Z73" s="42"/>
      <c r="AA73" s="355"/>
      <c r="AB73" s="355"/>
      <c r="AC73" s="30"/>
      <c r="AD73" s="30"/>
      <c r="AE73" s="110"/>
      <c r="AG73" s="30"/>
      <c r="AH73" s="110"/>
    </row>
    <row r="74" spans="1:37" ht="13" customHeight="1">
      <c r="A74" s="31" t="s">
        <v>2013</v>
      </c>
      <c r="B74" s="31" t="s">
        <v>1511</v>
      </c>
      <c r="C74" s="503" t="s">
        <v>2182</v>
      </c>
      <c r="E74" s="31" t="s">
        <v>253</v>
      </c>
      <c r="G74" s="31">
        <v>20</v>
      </c>
      <c r="H74" s="31">
        <v>9</v>
      </c>
      <c r="I74" s="120">
        <v>16</v>
      </c>
      <c r="J74" s="28">
        <v>3.8</v>
      </c>
      <c r="K74" s="180" t="s">
        <v>2381</v>
      </c>
      <c r="M74" s="31">
        <v>106.3</v>
      </c>
      <c r="N74" s="31">
        <v>11.8</v>
      </c>
      <c r="O74" s="31" t="s">
        <v>2382</v>
      </c>
      <c r="P74" s="31" t="s">
        <v>2383</v>
      </c>
      <c r="Q74" s="11">
        <v>593.29999999999995</v>
      </c>
      <c r="R74" s="11">
        <v>356</v>
      </c>
      <c r="U74" s="31">
        <v>20</v>
      </c>
      <c r="V74" s="31">
        <v>10</v>
      </c>
      <c r="W74" s="31">
        <v>16.2</v>
      </c>
      <c r="X74" s="31">
        <v>3.8</v>
      </c>
      <c r="Y74" s="31" t="s">
        <v>2381</v>
      </c>
      <c r="AE74" s="110" t="s">
        <v>2376</v>
      </c>
    </row>
    <row r="75" spans="1:37" ht="13" customHeight="1">
      <c r="B75" s="31" t="s">
        <v>1511</v>
      </c>
      <c r="C75" s="11" t="s">
        <v>1664</v>
      </c>
      <c r="D75" s="11"/>
      <c r="E75" s="11" t="s">
        <v>253</v>
      </c>
      <c r="F75" s="11"/>
      <c r="G75" s="11">
        <v>22</v>
      </c>
      <c r="H75" s="11">
        <v>11</v>
      </c>
      <c r="I75" s="131">
        <v>16.399999999999999</v>
      </c>
      <c r="J75" s="147">
        <v>5.6</v>
      </c>
      <c r="K75" s="463" t="s">
        <v>24</v>
      </c>
      <c r="L75" s="11"/>
      <c r="M75" s="11">
        <v>97</v>
      </c>
      <c r="N75" s="11" t="s">
        <v>24</v>
      </c>
      <c r="O75" s="11" t="s">
        <v>24</v>
      </c>
      <c r="P75" s="125" t="s">
        <v>1768</v>
      </c>
      <c r="Q75" s="125">
        <f>17.3*88.4</f>
        <v>1529.3200000000002</v>
      </c>
      <c r="R75" s="125" t="s">
        <v>24</v>
      </c>
      <c r="S75" s="125"/>
      <c r="T75" s="125" t="s">
        <v>1784</v>
      </c>
      <c r="U75" s="116">
        <v>12</v>
      </c>
      <c r="V75" s="116">
        <v>6</v>
      </c>
      <c r="W75" s="11">
        <v>13.4</v>
      </c>
      <c r="X75" s="11">
        <v>3.9</v>
      </c>
      <c r="Y75" s="11" t="s">
        <v>24</v>
      </c>
      <c r="Z75" s="11"/>
      <c r="AA75" s="11">
        <v>110.6</v>
      </c>
      <c r="AB75" s="11" t="s">
        <v>24</v>
      </c>
      <c r="AC75" s="30" t="s">
        <v>24</v>
      </c>
      <c r="AD75" s="11"/>
      <c r="AE75" s="125" t="s">
        <v>1782</v>
      </c>
      <c r="AF75" s="129" t="s">
        <v>1783</v>
      </c>
      <c r="AG75" s="11"/>
      <c r="AH75" s="11"/>
      <c r="AI75" s="11"/>
      <c r="AJ75" s="11"/>
      <c r="AK75" s="11"/>
    </row>
    <row r="76" spans="1:37" ht="13" customHeight="1">
      <c r="B76" s="31" t="s">
        <v>1511</v>
      </c>
      <c r="C76" s="11" t="s">
        <v>2124</v>
      </c>
      <c r="D76" s="11" t="s">
        <v>2428</v>
      </c>
      <c r="E76" s="11" t="s">
        <v>1326</v>
      </c>
      <c r="F76" s="11"/>
      <c r="G76" s="11">
        <v>10</v>
      </c>
      <c r="H76" s="11">
        <v>3</v>
      </c>
      <c r="I76" s="131">
        <v>20.6</v>
      </c>
      <c r="J76" s="147">
        <f>(28.6-13.4)/4</f>
        <v>3.8000000000000003</v>
      </c>
      <c r="K76" s="463" t="s">
        <v>2147</v>
      </c>
      <c r="L76" s="11"/>
      <c r="M76" s="11"/>
      <c r="N76" s="11"/>
      <c r="O76" s="11"/>
      <c r="P76" s="125"/>
      <c r="Q76" s="125">
        <v>1014</v>
      </c>
      <c r="R76" s="125">
        <v>216</v>
      </c>
      <c r="S76" s="125"/>
      <c r="T76" s="125"/>
      <c r="U76" s="11">
        <v>10</v>
      </c>
      <c r="V76" s="11">
        <v>3</v>
      </c>
      <c r="W76" s="11">
        <v>20.54</v>
      </c>
      <c r="X76" s="11">
        <f>(27.92-13.58)/4</f>
        <v>3.5850000000000004</v>
      </c>
      <c r="Y76" s="11" t="s">
        <v>2439</v>
      </c>
      <c r="Z76" s="11"/>
      <c r="AA76" s="11"/>
      <c r="AB76" s="11"/>
      <c r="AC76" s="30"/>
      <c r="AD76" s="11"/>
      <c r="AE76" s="125" t="s">
        <v>2148</v>
      </c>
      <c r="AF76" s="129" t="s">
        <v>2149</v>
      </c>
      <c r="AG76" s="11"/>
      <c r="AH76" s="11"/>
      <c r="AI76" s="11"/>
      <c r="AJ76" s="11"/>
      <c r="AK76" s="11"/>
    </row>
    <row r="77" spans="1:37" ht="13" customHeight="1">
      <c r="B77" s="31" t="s">
        <v>1511</v>
      </c>
      <c r="C77" s="110" t="s">
        <v>1138</v>
      </c>
      <c r="D77" s="110"/>
      <c r="E77" s="110" t="s">
        <v>253</v>
      </c>
      <c r="F77" s="30"/>
      <c r="G77" s="116">
        <v>18</v>
      </c>
      <c r="H77" s="116">
        <v>9</v>
      </c>
      <c r="I77" s="230">
        <v>17.88</v>
      </c>
      <c r="J77" s="137">
        <v>2.74</v>
      </c>
      <c r="K77" s="110" t="s">
        <v>1141</v>
      </c>
      <c r="L77" s="110"/>
      <c r="M77" s="110">
        <v>104.8</v>
      </c>
      <c r="N77" s="110">
        <v>10.9</v>
      </c>
      <c r="O77" s="110" t="s">
        <v>24</v>
      </c>
      <c r="P77" s="110"/>
      <c r="Q77" s="107" t="s">
        <v>1143</v>
      </c>
      <c r="R77" s="107" t="s">
        <v>24</v>
      </c>
      <c r="S77" s="107"/>
      <c r="T77" s="110" t="s">
        <v>24</v>
      </c>
      <c r="U77" s="116">
        <v>16</v>
      </c>
      <c r="V77" s="116">
        <v>8</v>
      </c>
      <c r="W77" s="116">
        <v>16.32</v>
      </c>
      <c r="X77" s="139">
        <v>2.92</v>
      </c>
      <c r="Y77" s="116" t="s">
        <v>24</v>
      </c>
      <c r="Z77" s="116"/>
      <c r="AA77" s="116" t="s">
        <v>1921</v>
      </c>
      <c r="AB77" s="31" t="s">
        <v>24</v>
      </c>
      <c r="AC77" s="30" t="s">
        <v>24</v>
      </c>
      <c r="AD77" s="30"/>
      <c r="AE77" s="110" t="s">
        <v>232</v>
      </c>
      <c r="AF77" s="30" t="s">
        <v>1922</v>
      </c>
      <c r="AG77" s="30"/>
      <c r="AH77" s="110" t="s">
        <v>1142</v>
      </c>
      <c r="AJ77" s="31" t="s">
        <v>1139</v>
      </c>
    </row>
    <row r="78" spans="1:37" s="11" customFormat="1" ht="13" customHeight="1">
      <c r="A78" s="31" t="s">
        <v>2013</v>
      </c>
      <c r="B78" s="31" t="s">
        <v>1511</v>
      </c>
      <c r="C78" s="11" t="s">
        <v>2077</v>
      </c>
      <c r="E78" s="11" t="s">
        <v>253</v>
      </c>
      <c r="G78" s="11">
        <v>13</v>
      </c>
      <c r="H78" s="11">
        <v>6</v>
      </c>
      <c r="I78" s="155">
        <v>22.1</v>
      </c>
      <c r="J78" s="481">
        <v>9.4</v>
      </c>
      <c r="K78" s="177" t="s">
        <v>2066</v>
      </c>
      <c r="M78" s="11">
        <v>99.3</v>
      </c>
      <c r="N78" s="11">
        <v>11.3</v>
      </c>
      <c r="O78" s="11" t="s">
        <v>2067</v>
      </c>
      <c r="P78" s="11" t="s">
        <v>2068</v>
      </c>
      <c r="Q78" s="483" t="s">
        <v>2069</v>
      </c>
      <c r="R78" s="11">
        <v>418</v>
      </c>
      <c r="T78" s="11" t="s">
        <v>24</v>
      </c>
      <c r="U78" s="11">
        <v>13</v>
      </c>
      <c r="V78" s="11">
        <v>7</v>
      </c>
      <c r="W78" s="11">
        <v>22.7</v>
      </c>
      <c r="X78" s="11">
        <v>8.9</v>
      </c>
      <c r="Y78" s="177" t="s">
        <v>2070</v>
      </c>
      <c r="AA78" s="11">
        <v>110.1</v>
      </c>
      <c r="AB78" s="11">
        <v>9.4</v>
      </c>
      <c r="AE78" s="11" t="s">
        <v>1995</v>
      </c>
      <c r="AF78" s="12"/>
    </row>
    <row r="79" spans="1:37" s="11" customFormat="1" ht="13" customHeight="1">
      <c r="A79" s="31" t="s">
        <v>2013</v>
      </c>
      <c r="B79" s="31" t="s">
        <v>1511</v>
      </c>
      <c r="C79" s="239" t="s">
        <v>2046</v>
      </c>
      <c r="E79" s="11" t="s">
        <v>253</v>
      </c>
      <c r="F79" s="177"/>
      <c r="G79" s="11">
        <v>32</v>
      </c>
      <c r="H79" s="11">
        <v>12</v>
      </c>
      <c r="I79" s="155">
        <v>18</v>
      </c>
      <c r="J79" s="481">
        <v>9</v>
      </c>
      <c r="K79" s="177" t="s">
        <v>2120</v>
      </c>
      <c r="Q79" s="483">
        <v>734</v>
      </c>
      <c r="R79" s="11">
        <v>410</v>
      </c>
      <c r="T79" s="11" t="s">
        <v>2119</v>
      </c>
      <c r="U79" s="11">
        <v>12</v>
      </c>
      <c r="V79" s="11">
        <v>4</v>
      </c>
      <c r="W79" s="11">
        <v>17.8</v>
      </c>
      <c r="X79" s="11">
        <v>8</v>
      </c>
      <c r="Y79" s="177" t="s">
        <v>2121</v>
      </c>
      <c r="AE79" s="11" t="s">
        <v>2122</v>
      </c>
      <c r="AF79" s="12"/>
    </row>
    <row r="80" spans="1:37" ht="13" customHeight="1">
      <c r="B80" s="31" t="s">
        <v>1511</v>
      </c>
      <c r="C80" s="527" t="s">
        <v>1227</v>
      </c>
      <c r="D80" s="172" t="s">
        <v>2430</v>
      </c>
      <c r="E80" s="172" t="s">
        <v>253</v>
      </c>
      <c r="F80" s="484"/>
      <c r="G80" s="173">
        <v>15</v>
      </c>
      <c r="H80" s="173">
        <v>8</v>
      </c>
      <c r="I80" s="112">
        <v>14.8</v>
      </c>
      <c r="J80" s="627">
        <f>(20-8)/4</f>
        <v>3</v>
      </c>
      <c r="K80" s="464" t="s">
        <v>1229</v>
      </c>
      <c r="L80" s="172"/>
      <c r="M80" s="176">
        <v>102</v>
      </c>
      <c r="N80" s="176">
        <v>13</v>
      </c>
      <c r="O80" s="176" t="s">
        <v>1914</v>
      </c>
      <c r="P80" s="172"/>
      <c r="Q80" s="240">
        <v>660</v>
      </c>
      <c r="R80" s="240">
        <f>(1730-222)/4</f>
        <v>377</v>
      </c>
      <c r="S80" s="240"/>
      <c r="T80" s="172" t="s">
        <v>1230</v>
      </c>
      <c r="U80" s="173" t="s">
        <v>1228</v>
      </c>
      <c r="V80" s="173" t="s">
        <v>24</v>
      </c>
      <c r="W80" s="173" t="s">
        <v>24</v>
      </c>
      <c r="X80" s="179" t="s">
        <v>24</v>
      </c>
      <c r="Y80" s="173" t="s">
        <v>24</v>
      </c>
      <c r="Z80" s="173"/>
      <c r="AA80" s="173" t="s">
        <v>24</v>
      </c>
      <c r="AB80" s="176" t="s">
        <v>24</v>
      </c>
      <c r="AC80" s="484" t="s">
        <v>24</v>
      </c>
      <c r="AD80" s="484"/>
      <c r="AE80" s="172" t="s">
        <v>1232</v>
      </c>
      <c r="AF80" s="484" t="s">
        <v>1231</v>
      </c>
      <c r="AG80" s="484"/>
      <c r="AH80" s="172" t="s">
        <v>24</v>
      </c>
      <c r="AI80" s="176"/>
    </row>
    <row r="81" spans="2:35" ht="13" customHeight="1">
      <c r="C81" s="110"/>
      <c r="D81" s="110"/>
      <c r="E81" s="110"/>
      <c r="F81" s="30"/>
      <c r="G81" s="116"/>
      <c r="H81" s="116"/>
      <c r="I81" s="109"/>
      <c r="J81" s="110"/>
      <c r="K81" s="133"/>
      <c r="L81" s="110"/>
      <c r="P81" s="110"/>
      <c r="Q81" s="107"/>
      <c r="R81" s="107"/>
      <c r="S81" s="107"/>
      <c r="T81" s="110"/>
      <c r="U81" s="116"/>
      <c r="V81" s="116"/>
      <c r="W81" s="116"/>
      <c r="X81" s="139"/>
      <c r="Y81" s="116"/>
      <c r="Z81" s="116"/>
      <c r="AA81" s="116"/>
      <c r="AC81" s="30"/>
      <c r="AD81" s="30"/>
      <c r="AE81" s="110"/>
      <c r="AG81" s="30"/>
      <c r="AH81" s="110"/>
    </row>
    <row r="82" spans="2:35" ht="13" customHeight="1">
      <c r="B82" s="120" t="s">
        <v>2042</v>
      </c>
      <c r="C82" s="368" t="s">
        <v>1891</v>
      </c>
      <c r="D82" s="142"/>
      <c r="E82" s="142"/>
      <c r="F82" s="142"/>
      <c r="G82" s="369">
        <f>AVERAGE(G65:G69,G49:G63,G47,G25:G42,G23,G21,G10:G19,G74:G80)</f>
        <v>27.155172413793103</v>
      </c>
      <c r="H82" s="369">
        <f>AVERAGE(H65:H69,H49:H63,H47,H25:H42,H23,H21,H10:H19,H74:H80)</f>
        <v>15.303571428571429</v>
      </c>
      <c r="I82" s="369">
        <f>AVERAGE(I65:I69,I49:I63,I47,I25:I42,I23,I21,I10:I19,I74:I80)</f>
        <v>20.383965517241379</v>
      </c>
      <c r="J82" s="369">
        <f>AVERAGE(J65:J69,J49:J63,J47,J25:J42,J23,J21,J10:J19,J74:J80)</f>
        <v>4.2440432098765433</v>
      </c>
      <c r="K82" s="369"/>
      <c r="L82" s="369"/>
      <c r="M82" s="369">
        <f>AVERAGE(M65:M69,M49:M63,M47,M25:M42,M23,M21,M10:M19,M74:M80)</f>
        <v>98.830869565217412</v>
      </c>
      <c r="N82" s="369">
        <f>AVERAGE(N65:N69,N49:N63,N47,N25:N42,N23,N21,N10:N19,N74:N80)</f>
        <v>11.424285714285716</v>
      </c>
      <c r="O82" s="369"/>
      <c r="P82" s="369"/>
      <c r="Q82" s="369">
        <f>AVERAGE(Q65:Q69,Q49:Q63,Q47,Q25:Q42,Q23,Q21,Q10:Q19,Q74:Q80)</f>
        <v>803.76593461538459</v>
      </c>
      <c r="R82" s="369">
        <f>AVERAGE(R65:R69,R49:R63,R47,R25:R42,R23,R21,R10:R19,R74:R80)</f>
        <v>288.09409916666664</v>
      </c>
      <c r="S82" s="369"/>
      <c r="T82" s="369"/>
      <c r="U82" s="369">
        <f>AVERAGE(U65:U69,U49:U63,U47,U25:U42,U23,U21,U10:U19,U74:U80)</f>
        <v>27.203703703703702</v>
      </c>
      <c r="V82" s="369">
        <f>AVERAGE(V65:V69,V49:V63,V47,V25:V42,V23,V21,V10:V19,V74:V80)</f>
        <v>15.183673469387756</v>
      </c>
      <c r="W82" s="369">
        <f>AVERAGE(W65:W69,W49:W63,W47,W25:W42,W23,W21,W10:W19,W74:W80)</f>
        <v>19.562435897435901</v>
      </c>
      <c r="X82" s="369">
        <f>AVERAGE(X65:X69,X49:X63,X47,X25:X42,X23,X21,X10:X19,X74:X80)</f>
        <v>4.2492028985507257</v>
      </c>
      <c r="Y82" s="369"/>
      <c r="Z82" s="369"/>
      <c r="AA82" s="369">
        <f>AVERAGE(AA10:AA42,AA47:AA69,AA75:AA80)</f>
        <v>98.744347826086951</v>
      </c>
      <c r="AB82" s="369">
        <f>AVERAGE(AB10:AB42,AB47:AB69,AB75:AB80)</f>
        <v>10.795</v>
      </c>
      <c r="AC82" s="142"/>
    </row>
    <row r="83" spans="2:35" ht="13" customHeight="1">
      <c r="C83" s="370" t="s">
        <v>10</v>
      </c>
      <c r="D83" s="142"/>
      <c r="E83" s="142"/>
      <c r="F83" s="142"/>
      <c r="G83" s="371">
        <f>STDEV(G74:G80,G65:G69,G49:G63,G47,G25:G42,G23,G21,G10:G19)</f>
        <v>23.004043675153035</v>
      </c>
      <c r="H83" s="371">
        <f>STDEV(H74:H80,H65:H69,H49:H63,H47,H25:H42,H23,H21,H10:H19)</f>
        <v>14.936130255624681</v>
      </c>
      <c r="I83" s="371">
        <f>STDEV(I74:I80,I65:I69,I49:I63,I47,I25:I42,I23,I21,I10:I19)</f>
        <v>8.5235771955978876</v>
      </c>
      <c r="J83" s="371">
        <f>STDEV(J74:J80,J65:J69,J49:J63,J47,J25:J42,J23,J21,J10:J19)</f>
        <v>2.4234600537804596</v>
      </c>
      <c r="K83" s="371"/>
      <c r="L83" s="371"/>
      <c r="M83" s="371">
        <f>STDEV(M74:M80,M65:M69,M49:M63,M47,M25:M42,M23,M21,M10:M19)</f>
        <v>15.496418035686721</v>
      </c>
      <c r="N83" s="371">
        <f>STDEV(N74:N80,N65:N69,N49:N63,N47,N25:N42,N23,N21,N10:N19)</f>
        <v>2.4208853162191937</v>
      </c>
      <c r="O83" s="371"/>
      <c r="P83" s="371"/>
      <c r="Q83" s="371">
        <f>STDEV(Q74:Q80,Q65:Q69,Q49:Q63,Q47,Q25:Q42,Q23,Q21,Q10:Q19)</f>
        <v>390.18818459434033</v>
      </c>
      <c r="R83" s="371">
        <f>STDEV(R74:R80,R65:R69,R49:R63,R47,R25:R42,R23,R21,R10:R19)</f>
        <v>125.91146203282769</v>
      </c>
      <c r="S83" s="371"/>
      <c r="T83" s="371"/>
      <c r="U83" s="371">
        <f>STDEV(U74:U80,U65:U69,U49:U63,U47,U25:U42,U23,U21,U10:U19)</f>
        <v>18.317307651744709</v>
      </c>
      <c r="V83" s="371">
        <f>STDEV(V74:V80,V65:V69,V49:V63,V47,V25:V42,V23,V21,V10:V19)</f>
        <v>12.373818915671229</v>
      </c>
      <c r="W83" s="371">
        <f>STDEV(W74:W80,W65:W69,W49:W63,W47,W25:W42,W23,W21,W10:W19)</f>
        <v>8.0526093178469438</v>
      </c>
      <c r="X83" s="371">
        <f>STDEV(X74:X80,X65:X69,X49:X63,X47,X25:X42,X23,X21,X10:X19)</f>
        <v>2.6716929191457672</v>
      </c>
      <c r="Y83" s="371"/>
      <c r="Z83" s="371"/>
      <c r="AA83" s="371">
        <f>STDEV(AA10:AA42,AA47:AA69,AA75:AA80)</f>
        <v>26.577761521803925</v>
      </c>
      <c r="AB83" s="371">
        <f>STDEV(AB10:AB42,AB47:AB69,AB75:AB80)</f>
        <v>3.3298451046636699</v>
      </c>
      <c r="AC83" s="142"/>
    </row>
    <row r="84" spans="2:35" ht="13" customHeight="1">
      <c r="B84" s="176"/>
      <c r="C84" s="172"/>
      <c r="D84" s="172"/>
      <c r="E84" s="172"/>
      <c r="F84" s="484"/>
      <c r="G84" s="173">
        <f>SUM(G74:G80,G65:G69,G49:G63,G47,G25:G42,G23,G21,G10:G19)</f>
        <v>1575</v>
      </c>
      <c r="H84" s="173">
        <f>SUM(H74:H80,H65:H69,H49:H63,H47,H25:H42,H23,H21,H10:H19)</f>
        <v>857</v>
      </c>
      <c r="I84" s="175"/>
      <c r="J84" s="176"/>
      <c r="K84" s="176"/>
      <c r="L84" s="176"/>
      <c r="M84" s="176"/>
      <c r="N84" s="176"/>
      <c r="O84" s="172"/>
      <c r="P84" s="172"/>
      <c r="Q84" s="240"/>
      <c r="R84" s="240"/>
      <c r="S84" s="240"/>
      <c r="T84" s="172"/>
      <c r="U84" s="173">
        <f>SUM(U74:U80,U65:U69,U49:U63,U47,U25:U42,U23,U21,U10:U19)</f>
        <v>1469</v>
      </c>
      <c r="V84" s="173">
        <f>SUM(V74:V80,V65:V69,V49:V63,V47,V25:V42,V23,V21,V10:V19)</f>
        <v>744</v>
      </c>
      <c r="W84" s="173"/>
      <c r="X84" s="173"/>
      <c r="Y84" s="173"/>
      <c r="Z84" s="173"/>
      <c r="AA84" s="173"/>
      <c r="AB84" s="176"/>
      <c r="AC84" s="484"/>
      <c r="AD84" s="484"/>
      <c r="AE84" s="172"/>
      <c r="AF84" s="484"/>
      <c r="AG84" s="484"/>
      <c r="AH84" s="172"/>
      <c r="AI84" s="176"/>
    </row>
    <row r="85" spans="2:35"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30"/>
      <c r="AE85" s="110"/>
      <c r="AG85" s="30"/>
      <c r="AH85" s="110"/>
    </row>
    <row r="86" spans="2:35" ht="13" customHeight="1">
      <c r="C86" s="110"/>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30"/>
      <c r="AE86" s="110"/>
      <c r="AG86" s="30"/>
      <c r="AH86" s="110"/>
    </row>
    <row r="87" spans="2:35" ht="13" customHeight="1">
      <c r="C87" s="110" t="s">
        <v>1269</v>
      </c>
      <c r="D87" s="110"/>
      <c r="E87" s="110"/>
      <c r="F87" s="30"/>
      <c r="G87" s="116"/>
      <c r="H87" s="116"/>
      <c r="I87" s="109"/>
      <c r="J87" s="110"/>
      <c r="K87" s="110"/>
      <c r="L87" s="110"/>
      <c r="M87" s="110"/>
      <c r="N87" s="110"/>
      <c r="O87" s="110"/>
      <c r="P87" s="110"/>
      <c r="Q87" s="107"/>
      <c r="R87" s="107"/>
      <c r="S87" s="107"/>
      <c r="T87" s="110"/>
      <c r="U87" s="116"/>
      <c r="V87" s="116"/>
      <c r="W87" s="116"/>
      <c r="X87" s="116"/>
      <c r="Y87" s="116"/>
      <c r="Z87" s="116"/>
      <c r="AA87" s="116"/>
      <c r="AC87" s="30"/>
      <c r="AD87" s="30"/>
      <c r="AE87" s="110"/>
      <c r="AG87" s="30"/>
      <c r="AH87" s="110"/>
    </row>
    <row r="88" spans="2:35" ht="13" customHeight="1">
      <c r="D88" s="142" t="s">
        <v>273</v>
      </c>
      <c r="G88" s="28"/>
      <c r="H88" s="28"/>
      <c r="I88" s="156"/>
      <c r="J88" s="28"/>
      <c r="K88" s="28"/>
      <c r="L88" s="28"/>
      <c r="M88" s="28"/>
      <c r="N88" s="28"/>
      <c r="O88" s="28"/>
      <c r="P88" s="28"/>
      <c r="Q88" s="481">
        <f t="shared" ref="Q88:X88" si="0">AVERAGE(Q10:Q42)</f>
        <v>963.13166666666666</v>
      </c>
      <c r="R88" s="481">
        <f t="shared" si="0"/>
        <v>314.69346153846158</v>
      </c>
      <c r="S88" s="481"/>
      <c r="T88" s="28"/>
      <c r="U88" s="28">
        <f t="shared" si="0"/>
        <v>31.516129032258064</v>
      </c>
      <c r="V88" s="28">
        <f t="shared" si="0"/>
        <v>20.148148148148149</v>
      </c>
      <c r="W88" s="28">
        <f t="shared" si="0"/>
        <v>26.678620689655187</v>
      </c>
      <c r="X88" s="28">
        <f t="shared" si="0"/>
        <v>5.9554166666666681</v>
      </c>
      <c r="Y88" s="28"/>
      <c r="Z88" s="28"/>
      <c r="AA88" s="28"/>
    </row>
    <row r="89" spans="2:35" ht="13" customHeight="1">
      <c r="C89" s="31" t="s">
        <v>274</v>
      </c>
    </row>
    <row r="91" spans="2:35" ht="13" customHeight="1">
      <c r="C91" s="135" t="s">
        <v>2452</v>
      </c>
    </row>
    <row r="92" spans="2:35" ht="13" customHeight="1">
      <c r="C92" s="135" t="s">
        <v>2453</v>
      </c>
    </row>
    <row r="93" spans="2:35" ht="13" customHeight="1">
      <c r="B93" s="143" t="s">
        <v>1931</v>
      </c>
    </row>
    <row r="94" spans="2:35" s="462" customFormat="1" ht="13" customHeight="1">
      <c r="B94" s="462" t="s">
        <v>925</v>
      </c>
      <c r="C94" s="459" t="s">
        <v>2185</v>
      </c>
      <c r="D94" s="467" t="s">
        <v>2378</v>
      </c>
      <c r="E94" s="459"/>
      <c r="F94" s="459"/>
      <c r="G94" s="459">
        <v>25</v>
      </c>
      <c r="H94" s="459"/>
      <c r="I94" s="466"/>
      <c r="J94" s="485"/>
      <c r="K94" s="115"/>
      <c r="L94" s="459"/>
      <c r="M94" s="462">
        <v>90</v>
      </c>
      <c r="N94" s="462">
        <v>11</v>
      </c>
      <c r="Q94" s="458">
        <v>1331.8</v>
      </c>
      <c r="R94" s="458" t="s">
        <v>2184</v>
      </c>
      <c r="S94" s="458"/>
      <c r="AF94" s="476"/>
    </row>
    <row r="95" spans="2:35" s="462" customFormat="1" ht="13" customHeight="1">
      <c r="B95" s="462" t="s">
        <v>925</v>
      </c>
      <c r="C95" s="462" t="s">
        <v>2166</v>
      </c>
      <c r="D95" s="467" t="s">
        <v>2366</v>
      </c>
      <c r="E95" s="466" t="s">
        <v>253</v>
      </c>
      <c r="F95" s="466"/>
      <c r="G95" s="462">
        <v>73</v>
      </c>
      <c r="K95" s="466"/>
      <c r="M95" s="462">
        <v>93</v>
      </c>
      <c r="N95" s="462">
        <v>14</v>
      </c>
      <c r="Q95" s="458" t="s">
        <v>2180</v>
      </c>
      <c r="R95" s="458"/>
      <c r="S95" s="458"/>
    </row>
    <row r="96" spans="2:35" s="462" customFormat="1" ht="13" customHeight="1">
      <c r="B96" s="462" t="s">
        <v>925</v>
      </c>
      <c r="C96" s="462" t="s">
        <v>2166</v>
      </c>
      <c r="D96" s="467" t="s">
        <v>2366</v>
      </c>
      <c r="E96" s="466"/>
      <c r="F96" s="466"/>
      <c r="K96" s="466"/>
      <c r="M96" s="462">
        <v>108</v>
      </c>
      <c r="N96" s="462">
        <v>12</v>
      </c>
      <c r="Q96" s="458" t="s">
        <v>2181</v>
      </c>
      <c r="R96" s="458"/>
      <c r="S96" s="458"/>
    </row>
    <row r="97" spans="2:36" s="462" customFormat="1" ht="13" customHeight="1">
      <c r="B97" s="462" t="s">
        <v>925</v>
      </c>
      <c r="C97" s="462" t="s">
        <v>2167</v>
      </c>
      <c r="D97" s="467" t="s">
        <v>2371</v>
      </c>
      <c r="E97" s="466"/>
      <c r="F97" s="466"/>
      <c r="G97" s="462">
        <v>17</v>
      </c>
      <c r="H97" s="462">
        <v>9</v>
      </c>
      <c r="I97" s="462">
        <v>25.8</v>
      </c>
      <c r="J97" s="462" t="s">
        <v>24</v>
      </c>
      <c r="K97" s="466" t="s">
        <v>2367</v>
      </c>
      <c r="M97" s="476">
        <v>104.1</v>
      </c>
      <c r="N97" s="462">
        <v>15.6</v>
      </c>
      <c r="Q97" s="462">
        <f>1.17*1000</f>
        <v>1170</v>
      </c>
      <c r="R97" s="458">
        <f>0.32*1000</f>
        <v>320</v>
      </c>
      <c r="S97" s="458"/>
      <c r="T97" s="467" t="s">
        <v>2370</v>
      </c>
      <c r="U97" s="462">
        <v>10</v>
      </c>
      <c r="V97" s="462" t="s">
        <v>24</v>
      </c>
      <c r="W97" s="462">
        <v>25.3</v>
      </c>
      <c r="X97" s="462" t="s">
        <v>24</v>
      </c>
      <c r="Y97" s="462" t="s">
        <v>2368</v>
      </c>
      <c r="AE97" s="462" t="s">
        <v>2369</v>
      </c>
    </row>
    <row r="98" spans="2:36" s="462" customFormat="1" ht="13" customHeight="1">
      <c r="B98" s="462" t="s">
        <v>925</v>
      </c>
      <c r="C98" s="462" t="s">
        <v>2168</v>
      </c>
      <c r="D98" s="467" t="s">
        <v>2371</v>
      </c>
      <c r="E98" s="466"/>
      <c r="G98" s="462">
        <v>31</v>
      </c>
      <c r="H98" s="462">
        <v>14</v>
      </c>
      <c r="I98" s="462">
        <v>29.1</v>
      </c>
      <c r="J98" s="462" t="s">
        <v>24</v>
      </c>
      <c r="K98" s="466" t="s">
        <v>24</v>
      </c>
      <c r="M98" s="476">
        <v>107.5</v>
      </c>
      <c r="N98" s="462">
        <v>18.7</v>
      </c>
      <c r="O98" s="462" t="s">
        <v>2179</v>
      </c>
      <c r="P98" s="486"/>
      <c r="Q98" s="462">
        <v>1276.5</v>
      </c>
      <c r="R98" s="458">
        <v>490</v>
      </c>
      <c r="S98" s="458"/>
      <c r="U98" s="462">
        <v>27</v>
      </c>
      <c r="V98" s="462">
        <v>12</v>
      </c>
      <c r="W98" s="462">
        <v>28.7</v>
      </c>
      <c r="X98" s="462" t="s">
        <v>24</v>
      </c>
      <c r="Y98" s="462" t="s">
        <v>24</v>
      </c>
      <c r="AE98" s="462" t="s">
        <v>2372</v>
      </c>
    </row>
    <row r="99" spans="2:36" s="462" customFormat="1" ht="13" customHeight="1">
      <c r="B99" s="462" t="s">
        <v>925</v>
      </c>
      <c r="C99" s="462" t="s">
        <v>2176</v>
      </c>
      <c r="D99" s="465" t="s">
        <v>2402</v>
      </c>
      <c r="G99" s="462">
        <v>14</v>
      </c>
      <c r="I99" s="466"/>
      <c r="M99" s="462">
        <v>97.64</v>
      </c>
      <c r="N99" s="462">
        <v>10.75</v>
      </c>
      <c r="Q99" s="458">
        <v>727</v>
      </c>
      <c r="R99" s="458">
        <v>199</v>
      </c>
      <c r="S99" s="458"/>
      <c r="AF99" s="476"/>
    </row>
    <row r="100" spans="2:36" s="462" customFormat="1" ht="13" customHeight="1">
      <c r="B100" s="462" t="s">
        <v>925</v>
      </c>
      <c r="C100" s="462" t="s">
        <v>2177</v>
      </c>
      <c r="D100" s="467" t="s">
        <v>2366</v>
      </c>
      <c r="G100" s="462">
        <v>10</v>
      </c>
      <c r="H100" s="462" t="s">
        <v>2172</v>
      </c>
      <c r="I100" s="466"/>
      <c r="Q100" s="458"/>
      <c r="R100" s="458"/>
      <c r="S100" s="458"/>
      <c r="AF100" s="476"/>
    </row>
    <row r="101" spans="2:36" ht="13" customHeight="1">
      <c r="B101" s="31" t="s">
        <v>908</v>
      </c>
      <c r="C101" s="31" t="s">
        <v>2170</v>
      </c>
      <c r="D101" s="31" t="s">
        <v>2186</v>
      </c>
      <c r="E101" s="120"/>
      <c r="G101" s="31">
        <v>46</v>
      </c>
      <c r="I101" s="31"/>
      <c r="J101" s="31" t="s">
        <v>1591</v>
      </c>
      <c r="K101" s="120"/>
      <c r="O101" s="145"/>
      <c r="P101" s="145"/>
      <c r="Q101" s="31"/>
      <c r="T101" s="30"/>
      <c r="AF101" s="31"/>
    </row>
    <row r="102" spans="2:36" s="462" customFormat="1" ht="13" customHeight="1">
      <c r="B102" s="466"/>
      <c r="C102" s="466"/>
      <c r="D102" s="467"/>
      <c r="I102" s="466"/>
      <c r="Q102" s="458"/>
      <c r="R102" s="458"/>
      <c r="S102" s="458"/>
      <c r="AF102" s="476"/>
    </row>
    <row r="103" spans="2:36" s="462" customFormat="1" ht="13" customHeight="1">
      <c r="B103" s="462" t="s">
        <v>1144</v>
      </c>
      <c r="C103" s="462" t="s">
        <v>2183</v>
      </c>
      <c r="D103" s="467" t="s">
        <v>2380</v>
      </c>
      <c r="E103" s="462" t="s">
        <v>2379</v>
      </c>
      <c r="I103" s="466"/>
      <c r="Q103" s="458"/>
      <c r="R103" s="458"/>
      <c r="S103" s="458"/>
      <c r="AF103" s="476"/>
    </row>
    <row r="104" spans="2:36" s="458" customFormat="1" ht="13" customHeight="1">
      <c r="B104" s="458" t="s">
        <v>1144</v>
      </c>
      <c r="C104" s="458" t="s">
        <v>1932</v>
      </c>
      <c r="D104" s="491"/>
      <c r="E104" s="458" t="s">
        <v>1933</v>
      </c>
      <c r="F104" s="465" t="s">
        <v>1934</v>
      </c>
      <c r="G104" s="458">
        <v>27</v>
      </c>
      <c r="H104" s="458">
        <v>13</v>
      </c>
      <c r="I104" s="200">
        <v>11.1</v>
      </c>
      <c r="J104" s="458">
        <v>2.98</v>
      </c>
      <c r="K104" s="487" t="s">
        <v>1935</v>
      </c>
      <c r="M104" s="458">
        <v>89.9</v>
      </c>
      <c r="N104" s="458">
        <v>10.8</v>
      </c>
      <c r="O104" s="458" t="s">
        <v>24</v>
      </c>
      <c r="P104" s="458" t="s">
        <v>1936</v>
      </c>
      <c r="Q104" s="488">
        <f>7.76*88.4</f>
        <v>685.98400000000004</v>
      </c>
      <c r="R104" s="458">
        <f>3.9*88.4</f>
        <v>344.76</v>
      </c>
      <c r="T104" s="458" t="s">
        <v>24</v>
      </c>
      <c r="U104" s="458">
        <v>28</v>
      </c>
      <c r="V104" s="458">
        <v>12</v>
      </c>
      <c r="W104" s="458">
        <v>9.82</v>
      </c>
      <c r="X104" s="458">
        <v>2.13</v>
      </c>
      <c r="Y104" s="458" t="s">
        <v>24</v>
      </c>
      <c r="AA104" s="458">
        <v>109</v>
      </c>
      <c r="AB104" s="458">
        <v>9.5</v>
      </c>
      <c r="AC104" s="458" t="s">
        <v>24</v>
      </c>
      <c r="AE104" s="458" t="s">
        <v>1196</v>
      </c>
      <c r="AF104" s="489" t="s">
        <v>1937</v>
      </c>
      <c r="AH104" s="458" t="s">
        <v>1938</v>
      </c>
      <c r="AJ104" s="458" t="s">
        <v>1939</v>
      </c>
    </row>
    <row r="105" spans="2:36" s="462" customFormat="1" ht="13" customHeight="1">
      <c r="B105" s="462" t="s">
        <v>1144</v>
      </c>
      <c r="C105" s="113" t="s">
        <v>1304</v>
      </c>
      <c r="D105" s="468" t="s">
        <v>1916</v>
      </c>
      <c r="E105" s="113" t="s">
        <v>226</v>
      </c>
      <c r="F105" s="476"/>
      <c r="G105" s="459">
        <v>42</v>
      </c>
      <c r="H105" s="459">
        <v>19</v>
      </c>
      <c r="I105" s="466">
        <v>14.7</v>
      </c>
      <c r="J105" s="113">
        <v>2.9</v>
      </c>
      <c r="K105" s="469" t="s">
        <v>763</v>
      </c>
      <c r="L105" s="113"/>
      <c r="M105" s="113">
        <v>99.58</v>
      </c>
      <c r="N105" s="113">
        <v>13.68</v>
      </c>
      <c r="O105" s="113" t="s">
        <v>1286</v>
      </c>
      <c r="P105" s="113"/>
      <c r="Q105" s="201">
        <v>893</v>
      </c>
      <c r="R105" s="201">
        <v>412</v>
      </c>
      <c r="S105" s="201"/>
      <c r="T105" s="113" t="s">
        <v>1285</v>
      </c>
      <c r="U105" s="459">
        <v>42</v>
      </c>
      <c r="V105" s="459">
        <v>19</v>
      </c>
      <c r="W105" s="470">
        <v>14.8</v>
      </c>
      <c r="X105" s="470">
        <v>2.7</v>
      </c>
      <c r="Y105" s="471" t="s">
        <v>763</v>
      </c>
      <c r="Z105" s="459"/>
      <c r="AA105" s="459">
        <v>104.38</v>
      </c>
      <c r="AB105" s="462">
        <v>12.16</v>
      </c>
      <c r="AC105" s="476" t="s">
        <v>1284</v>
      </c>
      <c r="AF105" s="113" t="s">
        <v>1918</v>
      </c>
      <c r="AG105" s="476"/>
      <c r="AH105" s="476" t="s">
        <v>1919</v>
      </c>
      <c r="AI105" s="113"/>
    </row>
    <row r="106" spans="2:36" s="462" customFormat="1" ht="13" customHeight="1">
      <c r="B106" s="462" t="s">
        <v>1144</v>
      </c>
      <c r="C106" s="462" t="s">
        <v>2173</v>
      </c>
      <c r="D106" s="467" t="s">
        <v>2366</v>
      </c>
      <c r="E106" s="466" t="s">
        <v>1933</v>
      </c>
      <c r="G106" s="462">
        <v>63</v>
      </c>
      <c r="I106" s="476" t="s">
        <v>2188</v>
      </c>
      <c r="K106" s="466"/>
      <c r="M106" s="476">
        <v>106.8</v>
      </c>
      <c r="N106" s="462">
        <v>13.9</v>
      </c>
      <c r="P106" s="486"/>
      <c r="Q106" s="462" t="s">
        <v>2190</v>
      </c>
      <c r="R106" s="458"/>
      <c r="S106" s="458"/>
    </row>
    <row r="107" spans="2:36" s="462" customFormat="1" ht="13" customHeight="1">
      <c r="B107" s="462" t="s">
        <v>1144</v>
      </c>
      <c r="C107" s="462" t="s">
        <v>2173</v>
      </c>
      <c r="D107" s="467" t="s">
        <v>2366</v>
      </c>
      <c r="E107" s="466"/>
      <c r="I107" s="476"/>
      <c r="K107" s="466"/>
      <c r="M107" s="476">
        <v>101.8</v>
      </c>
      <c r="N107" s="462">
        <v>16.399999999999999</v>
      </c>
      <c r="P107" s="486"/>
      <c r="Q107" s="462" t="s">
        <v>2191</v>
      </c>
      <c r="R107" s="458"/>
      <c r="S107" s="458"/>
    </row>
    <row r="108" spans="2:36" s="462" customFormat="1" ht="13" customHeight="1">
      <c r="B108" s="462" t="s">
        <v>1144</v>
      </c>
      <c r="C108" s="462" t="s">
        <v>2173</v>
      </c>
      <c r="D108" s="467" t="s">
        <v>2366</v>
      </c>
      <c r="E108" s="466"/>
      <c r="I108" s="476"/>
      <c r="K108" s="466"/>
      <c r="M108" s="476">
        <v>86.7</v>
      </c>
      <c r="N108" s="462">
        <v>17</v>
      </c>
      <c r="P108" s="486"/>
      <c r="Q108" s="462" t="s">
        <v>2192</v>
      </c>
      <c r="R108" s="458"/>
      <c r="S108" s="458"/>
    </row>
    <row r="109" spans="2:36" s="462" customFormat="1" ht="13" customHeight="1">
      <c r="B109" s="462" t="s">
        <v>1144</v>
      </c>
      <c r="C109" s="462" t="s">
        <v>2385</v>
      </c>
      <c r="D109" s="467" t="s">
        <v>2366</v>
      </c>
      <c r="E109" s="466"/>
      <c r="G109" s="462">
        <v>65</v>
      </c>
      <c r="I109" s="467" t="s">
        <v>2384</v>
      </c>
      <c r="K109" s="466"/>
      <c r="M109" s="476">
        <v>101.1</v>
      </c>
      <c r="N109" s="462" t="s">
        <v>2187</v>
      </c>
      <c r="P109" s="486"/>
      <c r="Q109" s="486">
        <v>333.93</v>
      </c>
      <c r="R109" s="490">
        <v>135.03</v>
      </c>
      <c r="S109" s="458"/>
      <c r="AF109" s="476"/>
    </row>
    <row r="110" spans="2:36" s="462" customFormat="1" ht="13" customHeight="1">
      <c r="B110" s="462" t="s">
        <v>1144</v>
      </c>
      <c r="C110" s="462" t="s">
        <v>2189</v>
      </c>
      <c r="D110" s="472" t="s">
        <v>2206</v>
      </c>
      <c r="E110" s="466"/>
      <c r="G110" s="462">
        <v>37</v>
      </c>
      <c r="I110" s="473" t="s">
        <v>2386</v>
      </c>
      <c r="K110" s="466"/>
      <c r="M110" s="476">
        <v>90.4</v>
      </c>
      <c r="N110" s="462">
        <v>7.8</v>
      </c>
      <c r="P110" s="486"/>
      <c r="Q110" s="486">
        <v>441.9</v>
      </c>
      <c r="R110" s="490">
        <f>441.9/88.4</f>
        <v>4.9988687782805421</v>
      </c>
      <c r="S110" s="458"/>
    </row>
    <row r="111" spans="2:36" s="462" customFormat="1" ht="13" customHeight="1">
      <c r="B111" s="462" t="s">
        <v>1144</v>
      </c>
      <c r="C111" s="462" t="s">
        <v>2189</v>
      </c>
      <c r="D111" s="472" t="s">
        <v>2206</v>
      </c>
      <c r="E111" s="466"/>
      <c r="I111" s="473" t="s">
        <v>2386</v>
      </c>
      <c r="K111" s="466"/>
      <c r="M111" s="476">
        <v>104.2</v>
      </c>
      <c r="N111" s="462">
        <v>13.3</v>
      </c>
      <c r="P111" s="486"/>
      <c r="Q111" s="462">
        <v>222.4</v>
      </c>
      <c r="R111" s="458"/>
      <c r="S111" s="458"/>
    </row>
    <row r="112" spans="2:36" s="462" customFormat="1" ht="13" customHeight="1">
      <c r="B112" s="462" t="s">
        <v>1144</v>
      </c>
      <c r="C112" s="459" t="s">
        <v>2162</v>
      </c>
      <c r="D112" s="467" t="s">
        <v>2398</v>
      </c>
      <c r="F112" s="459"/>
      <c r="G112" s="459">
        <v>8</v>
      </c>
      <c r="H112" s="462" t="s">
        <v>2172</v>
      </c>
      <c r="I112" s="466"/>
      <c r="J112" s="485"/>
      <c r="K112" s="115"/>
      <c r="L112" s="462" t="s">
        <v>2163</v>
      </c>
      <c r="Q112" s="458"/>
      <c r="R112" s="458"/>
      <c r="S112" s="458"/>
      <c r="AF112" s="476"/>
    </row>
    <row r="113" spans="1:37" s="125" customFormat="1" ht="13" customHeight="1">
      <c r="B113" s="11" t="s">
        <v>1144</v>
      </c>
      <c r="C113" s="31" t="s">
        <v>1929</v>
      </c>
      <c r="D113" s="31" t="s">
        <v>1930</v>
      </c>
      <c r="G113" s="448">
        <v>30</v>
      </c>
      <c r="I113" s="155"/>
      <c r="J113" s="11"/>
      <c r="K113" s="11"/>
      <c r="L113" s="11"/>
      <c r="O113" s="11" t="s">
        <v>1737</v>
      </c>
      <c r="P113" s="11"/>
      <c r="Q113" s="11"/>
      <c r="R113" s="11"/>
      <c r="S113" s="11"/>
      <c r="U113" s="11"/>
      <c r="V113" s="11"/>
      <c r="W113" s="449"/>
      <c r="Y113" s="132"/>
      <c r="Z113" s="450"/>
      <c r="AA113" s="132"/>
      <c r="AB113" s="11"/>
      <c r="AC113" s="11"/>
      <c r="AD113" s="11"/>
      <c r="AE113" s="11"/>
      <c r="AF113" s="451"/>
      <c r="AG113" s="151"/>
      <c r="AH113" s="11"/>
      <c r="AI113" s="11"/>
    </row>
    <row r="114" spans="1:37"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E114" s="30"/>
      <c r="AF114" s="110"/>
      <c r="AG114" s="30"/>
      <c r="AH114" s="30"/>
      <c r="AI114" s="110"/>
      <c r="AJ114" s="31" t="s">
        <v>1290</v>
      </c>
    </row>
    <row r="115" spans="1:37" s="462" customFormat="1" ht="13" customHeight="1">
      <c r="C115" s="459"/>
      <c r="D115" s="467"/>
      <c r="F115" s="459"/>
      <c r="G115" s="459"/>
      <c r="I115" s="466"/>
      <c r="J115" s="485"/>
      <c r="K115" s="115"/>
      <c r="Q115" s="458"/>
      <c r="R115" s="458"/>
      <c r="S115" s="458"/>
      <c r="AF115" s="476"/>
    </row>
    <row r="116" spans="1:37" s="462" customFormat="1" ht="13" customHeight="1">
      <c r="B116" s="462" t="s">
        <v>1511</v>
      </c>
      <c r="C116" s="462" t="s">
        <v>2175</v>
      </c>
      <c r="D116" s="467" t="s">
        <v>2197</v>
      </c>
      <c r="E116" s="466"/>
      <c r="G116" s="462">
        <v>92</v>
      </c>
      <c r="K116" s="466"/>
      <c r="O116" s="486"/>
      <c r="P116" s="486"/>
      <c r="R116" s="458"/>
      <c r="S116" s="458"/>
      <c r="T116" s="476"/>
    </row>
    <row r="117" spans="1:37" s="462" customFormat="1" ht="13" customHeight="1">
      <c r="B117" s="462" t="s">
        <v>1511</v>
      </c>
      <c r="C117" s="459" t="s">
        <v>2154</v>
      </c>
      <c r="D117" s="467" t="s">
        <v>2366</v>
      </c>
      <c r="E117" s="459"/>
      <c r="F117" s="459"/>
      <c r="G117" s="459">
        <v>64</v>
      </c>
      <c r="H117" s="459"/>
      <c r="I117" s="466"/>
      <c r="J117" s="485"/>
      <c r="K117" s="115"/>
      <c r="L117" s="462" t="s">
        <v>2157</v>
      </c>
      <c r="M117" s="462">
        <v>100.1</v>
      </c>
      <c r="N117" s="486">
        <v>11.8</v>
      </c>
      <c r="Q117" s="458">
        <v>413</v>
      </c>
      <c r="R117" s="458">
        <v>233</v>
      </c>
      <c r="S117" s="458"/>
      <c r="AF117" s="476"/>
    </row>
    <row r="118" spans="1:37" s="462" customFormat="1" ht="13" customHeight="1">
      <c r="B118" s="462" t="s">
        <v>1511</v>
      </c>
      <c r="C118" s="459" t="s">
        <v>2156</v>
      </c>
      <c r="D118" s="467" t="s">
        <v>2366</v>
      </c>
      <c r="E118" s="467" t="s">
        <v>2387</v>
      </c>
      <c r="F118" s="459"/>
      <c r="G118" s="459">
        <v>26</v>
      </c>
      <c r="H118" s="459"/>
      <c r="I118" s="466"/>
      <c r="J118" s="485"/>
      <c r="K118" s="115"/>
      <c r="L118" s="462" t="s">
        <v>2155</v>
      </c>
      <c r="M118" s="462">
        <v>107</v>
      </c>
      <c r="N118" s="486">
        <v>11.12</v>
      </c>
      <c r="Q118" s="490">
        <v>587.20000000000005</v>
      </c>
      <c r="R118" s="458">
        <v>293</v>
      </c>
      <c r="S118" s="458"/>
      <c r="AF118" s="476"/>
    </row>
    <row r="119" spans="1:37" s="462" customFormat="1" ht="13" customHeight="1">
      <c r="B119" s="462" t="s">
        <v>1511</v>
      </c>
      <c r="C119" s="462" t="s">
        <v>2159</v>
      </c>
      <c r="D119" s="467" t="s">
        <v>2366</v>
      </c>
      <c r="E119" s="467" t="s">
        <v>2388</v>
      </c>
      <c r="G119" s="462">
        <v>55</v>
      </c>
      <c r="I119" s="466"/>
      <c r="M119" s="462">
        <v>99.2</v>
      </c>
      <c r="N119" s="462">
        <v>13.6</v>
      </c>
      <c r="Q119" s="458">
        <v>592</v>
      </c>
      <c r="R119" s="458">
        <v>355</v>
      </c>
      <c r="S119" s="458"/>
      <c r="AF119" s="476"/>
    </row>
    <row r="120" spans="1:37" s="462" customFormat="1" ht="13" customHeight="1">
      <c r="B120" s="462" t="s">
        <v>1511</v>
      </c>
      <c r="C120" s="462" t="s">
        <v>2178</v>
      </c>
      <c r="D120" s="467" t="s">
        <v>2390</v>
      </c>
      <c r="E120" s="467" t="s">
        <v>2389</v>
      </c>
      <c r="G120" s="462">
        <v>35</v>
      </c>
      <c r="I120" s="466"/>
      <c r="M120" s="462">
        <v>93</v>
      </c>
      <c r="Q120" s="458">
        <v>660</v>
      </c>
      <c r="R120" s="458">
        <v>240</v>
      </c>
      <c r="S120" s="458"/>
      <c r="AF120" s="476"/>
    </row>
    <row r="121" spans="1:37" s="462" customFormat="1" ht="13" customHeight="1">
      <c r="B121" s="462" t="s">
        <v>1511</v>
      </c>
      <c r="C121" s="462" t="s">
        <v>2174</v>
      </c>
      <c r="D121" s="467" t="s">
        <v>2366</v>
      </c>
      <c r="E121" s="466"/>
      <c r="G121" s="462">
        <v>65</v>
      </c>
      <c r="K121" s="466"/>
      <c r="O121" s="486"/>
      <c r="P121" s="486"/>
      <c r="R121" s="458"/>
      <c r="S121" s="458"/>
      <c r="T121" s="476"/>
    </row>
    <row r="122" spans="1:37" s="462" customFormat="1" ht="13" customHeight="1">
      <c r="B122" s="462" t="s">
        <v>1511</v>
      </c>
      <c r="C122" s="462" t="s">
        <v>2171</v>
      </c>
      <c r="D122" s="467" t="s">
        <v>2371</v>
      </c>
      <c r="G122" s="462">
        <v>36</v>
      </c>
      <c r="I122" s="466"/>
      <c r="Q122" s="458"/>
      <c r="R122" s="458"/>
      <c r="S122" s="458"/>
      <c r="AF122" s="476"/>
    </row>
    <row r="123" spans="1:37" s="462" customFormat="1" ht="13" customHeight="1">
      <c r="B123" s="462" t="s">
        <v>1511</v>
      </c>
      <c r="C123" s="462" t="s">
        <v>2169</v>
      </c>
      <c r="D123" s="467" t="s">
        <v>2397</v>
      </c>
      <c r="E123" s="466"/>
      <c r="G123" s="462">
        <v>9</v>
      </c>
      <c r="H123" s="462" t="s">
        <v>2172</v>
      </c>
      <c r="K123" s="466"/>
      <c r="Q123" s="458"/>
      <c r="R123" s="458"/>
      <c r="S123" s="458"/>
      <c r="AF123" s="476"/>
    </row>
    <row r="124" spans="1:37" ht="13" customHeight="1">
      <c r="A124" s="462"/>
      <c r="B124" s="462" t="s">
        <v>1511</v>
      </c>
      <c r="C124" s="491" t="s">
        <v>663</v>
      </c>
      <c r="D124" s="491"/>
      <c r="E124" s="11" t="s">
        <v>253</v>
      </c>
      <c r="F124" s="11" t="s">
        <v>2039</v>
      </c>
      <c r="G124" s="11">
        <v>12</v>
      </c>
      <c r="H124" s="11">
        <v>6</v>
      </c>
      <c r="I124" s="155">
        <v>23.6</v>
      </c>
      <c r="J124" s="11">
        <v>8.8000000000000007</v>
      </c>
      <c r="K124" s="177" t="s">
        <v>1799</v>
      </c>
      <c r="L124" s="11"/>
      <c r="M124" s="11">
        <v>99.7</v>
      </c>
      <c r="N124" s="11">
        <v>11</v>
      </c>
      <c r="O124" s="11" t="s">
        <v>1940</v>
      </c>
      <c r="P124" s="11" t="s">
        <v>1941</v>
      </c>
      <c r="Q124" s="11">
        <v>827</v>
      </c>
      <c r="R124" s="11">
        <v>399</v>
      </c>
      <c r="T124" s="11" t="s">
        <v>1801</v>
      </c>
      <c r="U124" s="11">
        <v>12</v>
      </c>
      <c r="V124" s="11">
        <v>7</v>
      </c>
      <c r="W124" s="11">
        <v>24.2</v>
      </c>
      <c r="X124" s="11">
        <v>8.9</v>
      </c>
      <c r="Y124" s="177" t="s">
        <v>1799</v>
      </c>
      <c r="Z124" s="11"/>
      <c r="AA124" s="11">
        <v>111</v>
      </c>
      <c r="AB124" s="11">
        <v>7</v>
      </c>
      <c r="AC124" s="11" t="s">
        <v>1942</v>
      </c>
      <c r="AD124" s="11"/>
      <c r="AE124" s="30" t="s">
        <v>1917</v>
      </c>
      <c r="AF124" s="12" t="s">
        <v>1943</v>
      </c>
      <c r="AG124" s="11"/>
      <c r="AH124" s="11" t="s">
        <v>1938</v>
      </c>
      <c r="AI124" s="11"/>
      <c r="AJ124" s="11"/>
      <c r="AK124" s="11"/>
    </row>
    <row r="125" spans="1:37" s="462" customFormat="1" ht="13" customHeight="1">
      <c r="B125" s="462" t="s">
        <v>1511</v>
      </c>
      <c r="C125" s="462" t="s">
        <v>1923</v>
      </c>
      <c r="D125" s="462" t="s">
        <v>1924</v>
      </c>
      <c r="E125" s="462" t="s">
        <v>226</v>
      </c>
      <c r="G125" s="458">
        <v>28</v>
      </c>
      <c r="H125" s="462">
        <v>10</v>
      </c>
      <c r="I125" s="200">
        <v>11.7</v>
      </c>
      <c r="J125" s="458">
        <v>4.3</v>
      </c>
      <c r="K125" s="492" t="s">
        <v>1925</v>
      </c>
      <c r="M125" s="458">
        <v>95.2</v>
      </c>
      <c r="N125" s="236">
        <v>12.3</v>
      </c>
      <c r="O125" s="458" t="s">
        <v>24</v>
      </c>
      <c r="P125" s="113"/>
      <c r="Q125" s="199">
        <v>528</v>
      </c>
      <c r="R125" s="199">
        <v>312</v>
      </c>
      <c r="S125" s="199"/>
      <c r="T125" s="113" t="s">
        <v>24</v>
      </c>
      <c r="U125" s="459">
        <v>21</v>
      </c>
      <c r="V125" s="459">
        <v>11</v>
      </c>
      <c r="W125" s="459">
        <v>10.6</v>
      </c>
      <c r="X125" s="459">
        <v>3.8</v>
      </c>
      <c r="Y125" s="459"/>
      <c r="Z125" s="459"/>
      <c r="AA125" s="459">
        <v>92.7</v>
      </c>
      <c r="AB125" s="462">
        <v>13.9</v>
      </c>
      <c r="AC125" s="476" t="s">
        <v>24</v>
      </c>
      <c r="AD125" s="476"/>
      <c r="AE125" s="113" t="s">
        <v>1196</v>
      </c>
      <c r="AF125" s="476" t="s">
        <v>938</v>
      </c>
      <c r="AG125" s="476"/>
      <c r="AH125" s="113" t="s">
        <v>24</v>
      </c>
    </row>
    <row r="126" spans="1:37" s="462" customFormat="1" ht="13" customHeight="1">
      <c r="B126" s="462" t="s">
        <v>1511</v>
      </c>
      <c r="C126" s="462" t="s">
        <v>1926</v>
      </c>
      <c r="D126" s="236" t="s">
        <v>2061</v>
      </c>
      <c r="E126" s="462" t="s">
        <v>226</v>
      </c>
      <c r="G126" s="462">
        <v>42</v>
      </c>
      <c r="H126" s="462">
        <v>19</v>
      </c>
      <c r="I126" s="114">
        <v>14.7</v>
      </c>
      <c r="J126" s="113">
        <v>2.9</v>
      </c>
      <c r="K126" s="474" t="s">
        <v>1927</v>
      </c>
      <c r="L126" s="113"/>
      <c r="M126" s="113">
        <v>100</v>
      </c>
      <c r="N126" s="113">
        <v>14</v>
      </c>
      <c r="O126" s="458" t="s">
        <v>1286</v>
      </c>
      <c r="P126" s="113"/>
      <c r="Q126" s="199">
        <v>894</v>
      </c>
      <c r="R126" s="199">
        <v>360</v>
      </c>
      <c r="S126" s="199"/>
      <c r="T126" s="113" t="s">
        <v>24</v>
      </c>
      <c r="U126" s="459">
        <v>42</v>
      </c>
      <c r="V126" s="459">
        <v>19</v>
      </c>
      <c r="W126" s="459">
        <v>14.8</v>
      </c>
      <c r="X126" s="459">
        <v>2.7</v>
      </c>
      <c r="Y126" s="475" t="s">
        <v>1927</v>
      </c>
      <c r="Z126" s="459"/>
      <c r="AA126" s="462">
        <v>104</v>
      </c>
      <c r="AB126" s="462">
        <v>12</v>
      </c>
      <c r="AC126" s="459" t="s">
        <v>1284</v>
      </c>
      <c r="AD126" s="476"/>
      <c r="AE126" s="113" t="s">
        <v>1196</v>
      </c>
      <c r="AF126" s="476" t="s">
        <v>938</v>
      </c>
      <c r="AG126" s="476"/>
      <c r="AH126" s="113" t="s">
        <v>1928</v>
      </c>
    </row>
    <row r="127" spans="1:37" s="462" customFormat="1" ht="13" customHeight="1">
      <c r="B127" s="462" t="s">
        <v>1511</v>
      </c>
      <c r="C127" s="495" t="s">
        <v>2046</v>
      </c>
      <c r="D127" s="462" t="s">
        <v>2394</v>
      </c>
      <c r="I127" s="466"/>
      <c r="Q127" s="458"/>
      <c r="R127" s="458"/>
      <c r="S127" s="458"/>
      <c r="AF127" s="476"/>
    </row>
    <row r="128" spans="1:37" s="462" customFormat="1" ht="13" customHeight="1">
      <c r="C128" s="495"/>
      <c r="I128" s="466"/>
      <c r="Q128" s="458"/>
      <c r="R128" s="458"/>
      <c r="S128" s="458"/>
      <c r="AF128" s="476"/>
    </row>
    <row r="129" spans="2:15" ht="13" customHeight="1">
      <c r="B129" s="143" t="s">
        <v>1591</v>
      </c>
      <c r="C129" s="493" t="s">
        <v>2044</v>
      </c>
      <c r="D129" s="31" t="s">
        <v>1591</v>
      </c>
    </row>
    <row r="130" spans="2:15" ht="13" customHeight="1">
      <c r="B130" s="143" t="s">
        <v>1591</v>
      </c>
      <c r="C130" s="493" t="s">
        <v>2045</v>
      </c>
      <c r="D130" s="31" t="s">
        <v>2060</v>
      </c>
    </row>
    <row r="131" spans="2:15" ht="13" customHeight="1">
      <c r="B131" s="143" t="s">
        <v>1591</v>
      </c>
      <c r="C131" s="494" t="s">
        <v>2046</v>
      </c>
      <c r="D131" s="31" t="s">
        <v>2394</v>
      </c>
    </row>
    <row r="132" spans="2:15" ht="13" customHeight="1">
      <c r="B132" s="143" t="s">
        <v>1591</v>
      </c>
      <c r="C132" s="116" t="s">
        <v>2385</v>
      </c>
      <c r="D132" s="18"/>
      <c r="E132" s="116"/>
      <c r="F132" s="116"/>
      <c r="G132" s="116">
        <v>65</v>
      </c>
      <c r="H132" s="116"/>
      <c r="J132" s="37" t="s">
        <v>993</v>
      </c>
      <c r="K132" s="111"/>
      <c r="L132" s="116"/>
      <c r="M132" s="116"/>
      <c r="N132" s="31" t="s">
        <v>993</v>
      </c>
      <c r="O132" s="241"/>
    </row>
    <row r="133" spans="2:15" ht="13" customHeight="1">
      <c r="B133" s="143" t="s">
        <v>1591</v>
      </c>
      <c r="C133" s="31" t="s">
        <v>2403</v>
      </c>
      <c r="D133" s="143" t="s">
        <v>2404</v>
      </c>
    </row>
    <row r="134" spans="2:15" ht="13" customHeight="1">
      <c r="C134" s="31" t="s">
        <v>2661</v>
      </c>
      <c r="D134" s="31" t="s">
        <v>2662</v>
      </c>
    </row>
    <row r="136" spans="2:15" ht="13" customHeight="1">
      <c r="C136" s="116"/>
      <c r="D136" s="18"/>
      <c r="E136" s="116"/>
      <c r="F136" s="116"/>
      <c r="G136" s="116"/>
      <c r="H136" s="116"/>
      <c r="J136" s="37"/>
      <c r="K136" s="111"/>
      <c r="O136" s="241"/>
    </row>
    <row r="141" spans="2:15" ht="13" customHeight="1">
      <c r="C141" s="116"/>
      <c r="D141" s="18"/>
      <c r="E141" s="116"/>
      <c r="F141" s="116"/>
      <c r="G141" s="116"/>
      <c r="H141" s="116"/>
      <c r="J141" s="37"/>
      <c r="K141" s="111"/>
      <c r="L141" s="116"/>
      <c r="M141" s="116"/>
      <c r="O141" s="241"/>
    </row>
  </sheetData>
  <mergeCells count="19">
    <mergeCell ref="E20:E22"/>
    <mergeCell ref="E23:E24"/>
    <mergeCell ref="C56:C57"/>
    <mergeCell ref="B56:B57"/>
    <mergeCell ref="B18:B19"/>
    <mergeCell ref="C18:C19"/>
    <mergeCell ref="C34:C35"/>
    <mergeCell ref="B34:B35"/>
    <mergeCell ref="C37:C38"/>
    <mergeCell ref="B37:B38"/>
    <mergeCell ref="AA8:AB8"/>
    <mergeCell ref="AE8:AF9"/>
    <mergeCell ref="AH8:AH9"/>
    <mergeCell ref="G7:R7"/>
    <mergeCell ref="U7:X7"/>
    <mergeCell ref="I8:K8"/>
    <mergeCell ref="M8:O8"/>
    <mergeCell ref="Q8:R8"/>
    <mergeCell ref="W8:Y8"/>
  </mergeCells>
  <phoneticPr fontId="22" type="noConversion"/>
  <pageMargins left="0.7" right="0.7" top="0.75" bottom="0.75" header="0.3" footer="0.3"/>
  <ignoredErrors>
    <ignoredError sqref="K55 K58:K60 K52 K50 K62 K66:K67 K78:K80 K49 Y49:Y52 Y55 Y58:Y60 Y62 Y66:Y67" twoDigitTextYear="1"/>
  </ignoredErrors>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701" t="s">
        <v>304</v>
      </c>
      <c r="F5" s="701"/>
      <c r="H5" s="701" t="s">
        <v>420</v>
      </c>
      <c r="I5" s="701"/>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701" t="s">
        <v>304</v>
      </c>
      <c r="F37" s="701"/>
      <c r="H37" s="701" t="s">
        <v>297</v>
      </c>
      <c r="I37" s="701"/>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701" t="s">
        <v>456</v>
      </c>
      <c r="E64" s="701"/>
      <c r="F64" s="701"/>
      <c r="H64" s="701" t="s">
        <v>457</v>
      </c>
      <c r="I64" s="701"/>
      <c r="J64" s="701"/>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701" t="s">
        <v>456</v>
      </c>
      <c r="E88" s="701"/>
      <c r="F88" s="701"/>
      <c r="H88" s="701" t="s">
        <v>457</v>
      </c>
      <c r="I88" s="701"/>
      <c r="J88" s="701"/>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706" t="s">
        <v>304</v>
      </c>
      <c r="D105" s="706"/>
      <c r="F105" s="706" t="s">
        <v>297</v>
      </c>
      <c r="G105" s="706"/>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707" t="s">
        <v>579</v>
      </c>
      <c r="C112" s="707"/>
      <c r="E112" s="5"/>
      <c r="F112" s="4"/>
      <c r="G112" s="4"/>
    </row>
    <row r="114" spans="2:22" ht="11.25" customHeight="1">
      <c r="B114" s="703"/>
      <c r="C114" s="705" t="s">
        <v>550</v>
      </c>
      <c r="D114" s="705"/>
      <c r="E114" s="57"/>
      <c r="F114" s="705" t="s">
        <v>551</v>
      </c>
      <c r="G114" s="705"/>
      <c r="H114" s="57"/>
      <c r="I114" s="58" t="s">
        <v>552</v>
      </c>
      <c r="J114" s="58" t="s">
        <v>555</v>
      </c>
      <c r="N114" s="702" t="s">
        <v>589</v>
      </c>
      <c r="O114" s="702"/>
      <c r="P114" s="702"/>
      <c r="Q114" s="702"/>
      <c r="R114" s="702"/>
      <c r="S114" s="702"/>
      <c r="T114" s="702"/>
      <c r="U114" s="702"/>
      <c r="V114" s="702"/>
    </row>
    <row r="115" spans="2:22" ht="11.25" customHeight="1" thickBot="1">
      <c r="B115" s="704"/>
      <c r="C115" s="60" t="s">
        <v>18</v>
      </c>
      <c r="D115" s="61" t="s">
        <v>554</v>
      </c>
      <c r="F115" s="60" t="s">
        <v>18</v>
      </c>
      <c r="G115" s="61" t="s">
        <v>554</v>
      </c>
      <c r="I115" s="62" t="s">
        <v>553</v>
      </c>
      <c r="J115" s="62"/>
      <c r="N115" s="702"/>
      <c r="O115" s="702"/>
      <c r="P115" s="702"/>
      <c r="Q115" s="702"/>
      <c r="R115" s="702"/>
      <c r="S115" s="702"/>
      <c r="T115" s="702"/>
      <c r="U115" s="702"/>
      <c r="V115" s="702"/>
    </row>
    <row r="116" spans="2:22" ht="11.25" customHeight="1">
      <c r="B116" s="63" t="s">
        <v>512</v>
      </c>
      <c r="N116" s="702"/>
      <c r="O116" s="702"/>
      <c r="P116" s="702"/>
      <c r="Q116" s="702"/>
      <c r="R116" s="702"/>
      <c r="S116" s="702"/>
      <c r="T116" s="702"/>
      <c r="U116" s="702"/>
      <c r="V116" s="702"/>
    </row>
    <row r="117" spans="2:22" ht="11.25" customHeight="1">
      <c r="B117" s="63" t="s">
        <v>513</v>
      </c>
      <c r="C117" s="64">
        <v>17.600000000000001</v>
      </c>
      <c r="D117" s="48">
        <v>-0.5</v>
      </c>
      <c r="F117" s="56">
        <v>18.79</v>
      </c>
      <c r="G117" s="48">
        <v>-0.4</v>
      </c>
      <c r="I117" s="56" t="s">
        <v>517</v>
      </c>
      <c r="J117" s="56">
        <v>0.06</v>
      </c>
      <c r="N117" s="702"/>
      <c r="O117" s="702"/>
      <c r="P117" s="702"/>
      <c r="Q117" s="702"/>
      <c r="R117" s="702"/>
      <c r="S117" s="702"/>
      <c r="T117" s="702"/>
      <c r="U117" s="702"/>
      <c r="V117" s="702"/>
    </row>
    <row r="118" spans="2:22" ht="11.25" customHeight="1">
      <c r="B118" s="56" t="s">
        <v>514</v>
      </c>
      <c r="C118" s="64">
        <v>35.21</v>
      </c>
      <c r="D118" s="48">
        <v>-0.8</v>
      </c>
      <c r="F118" s="56">
        <v>35.94</v>
      </c>
      <c r="G118" s="48">
        <v>-0.8</v>
      </c>
      <c r="I118" s="56" t="s">
        <v>518</v>
      </c>
      <c r="J118" s="56">
        <v>0</v>
      </c>
      <c r="N118" s="702"/>
      <c r="O118" s="702"/>
      <c r="P118" s="702"/>
      <c r="Q118" s="702"/>
      <c r="R118" s="702"/>
      <c r="S118" s="702"/>
      <c r="T118" s="702"/>
      <c r="U118" s="702"/>
      <c r="V118" s="702"/>
    </row>
    <row r="119" spans="2:22" ht="11.25" customHeight="1">
      <c r="B119" s="56" t="s">
        <v>515</v>
      </c>
      <c r="C119" s="64">
        <v>3.56</v>
      </c>
      <c r="D119" s="48">
        <v>-0.3</v>
      </c>
      <c r="F119" s="56">
        <v>4.6100000000000003</v>
      </c>
      <c r="G119" s="48">
        <v>-0.3</v>
      </c>
      <c r="I119" s="56" t="s">
        <v>519</v>
      </c>
      <c r="J119" s="56">
        <v>0.11</v>
      </c>
      <c r="N119" s="702"/>
      <c r="O119" s="702"/>
      <c r="P119" s="702"/>
      <c r="Q119" s="702"/>
      <c r="R119" s="702"/>
      <c r="S119" s="702"/>
      <c r="T119" s="702"/>
      <c r="U119" s="702"/>
      <c r="V119" s="702"/>
    </row>
    <row r="120" spans="2:22" ht="11.25" customHeight="1">
      <c r="B120" s="56" t="s">
        <v>516</v>
      </c>
      <c r="C120" s="52">
        <v>125.12</v>
      </c>
      <c r="D120" s="48">
        <v>-6.7</v>
      </c>
      <c r="F120" s="56">
        <v>91.62</v>
      </c>
      <c r="G120" s="48">
        <v>-6.6</v>
      </c>
      <c r="I120" s="56" t="s">
        <v>520</v>
      </c>
      <c r="J120" s="56">
        <v>0.17</v>
      </c>
      <c r="N120" s="702"/>
      <c r="O120" s="702"/>
      <c r="P120" s="702"/>
      <c r="Q120" s="702"/>
      <c r="R120" s="702"/>
      <c r="S120" s="702"/>
      <c r="T120" s="702"/>
      <c r="U120" s="702"/>
      <c r="V120" s="702"/>
    </row>
    <row r="121" spans="2:22" ht="11.25" customHeight="1">
      <c r="B121" s="63" t="s">
        <v>521</v>
      </c>
      <c r="C121" s="52"/>
      <c r="F121" s="52"/>
      <c r="I121" s="52"/>
      <c r="J121" s="52"/>
      <c r="N121" s="702"/>
      <c r="O121" s="702"/>
      <c r="P121" s="702"/>
      <c r="Q121" s="702"/>
      <c r="R121" s="702"/>
      <c r="S121" s="702"/>
      <c r="T121" s="702"/>
      <c r="U121" s="702"/>
      <c r="V121" s="702"/>
    </row>
    <row r="122" spans="2:22" ht="11.25" customHeight="1">
      <c r="B122" s="56" t="s">
        <v>522</v>
      </c>
      <c r="C122" s="64">
        <v>8.36</v>
      </c>
      <c r="D122" s="48">
        <v>-0.5</v>
      </c>
      <c r="F122" s="56">
        <v>11.35</v>
      </c>
      <c r="G122" s="48">
        <v>-0.5</v>
      </c>
      <c r="I122" s="56" t="s">
        <v>525</v>
      </c>
      <c r="J122" s="56">
        <v>0.22</v>
      </c>
      <c r="N122" s="702"/>
      <c r="O122" s="702"/>
      <c r="P122" s="702"/>
      <c r="Q122" s="702"/>
      <c r="R122" s="702"/>
      <c r="S122" s="702"/>
      <c r="T122" s="702"/>
      <c r="U122" s="702"/>
      <c r="V122" s="702"/>
    </row>
    <row r="123" spans="2:22" ht="11.25" customHeight="1">
      <c r="B123" s="56" t="s">
        <v>523</v>
      </c>
      <c r="C123" s="64">
        <v>7.78</v>
      </c>
      <c r="D123" s="48">
        <v>-0.5</v>
      </c>
      <c r="F123" s="48">
        <v>10.48</v>
      </c>
      <c r="G123" s="48">
        <v>-0.5</v>
      </c>
      <c r="I123" s="56" t="s">
        <v>526</v>
      </c>
      <c r="J123" s="56">
        <v>0.17</v>
      </c>
      <c r="N123" s="702"/>
      <c r="O123" s="702"/>
      <c r="P123" s="702"/>
      <c r="Q123" s="702"/>
      <c r="R123" s="702"/>
      <c r="S123" s="702"/>
      <c r="T123" s="702"/>
      <c r="U123" s="702"/>
      <c r="V123" s="702"/>
    </row>
    <row r="124" spans="2:22" ht="11.25" customHeight="1">
      <c r="B124" s="56" t="s">
        <v>524</v>
      </c>
      <c r="C124" s="64">
        <v>66.150000000000006</v>
      </c>
      <c r="D124" s="48">
        <v>-2.7</v>
      </c>
      <c r="F124" s="56">
        <v>50.94</v>
      </c>
      <c r="G124" s="48">
        <v>-2.7</v>
      </c>
      <c r="I124" s="56" t="s">
        <v>525</v>
      </c>
      <c r="J124" s="56">
        <v>0.2</v>
      </c>
      <c r="N124" s="702"/>
      <c r="O124" s="702"/>
      <c r="P124" s="702"/>
      <c r="Q124" s="702"/>
      <c r="R124" s="702"/>
      <c r="S124" s="702"/>
      <c r="T124" s="702"/>
      <c r="U124" s="702"/>
      <c r="V124" s="702"/>
    </row>
    <row r="125" spans="2:22" ht="11.25" customHeight="1">
      <c r="B125" s="63" t="s">
        <v>527</v>
      </c>
      <c r="C125" s="52"/>
      <c r="F125" s="52"/>
      <c r="I125" s="52"/>
      <c r="J125" s="52"/>
      <c r="N125" s="702"/>
      <c r="O125" s="702"/>
      <c r="P125" s="702"/>
      <c r="Q125" s="702"/>
      <c r="R125" s="702"/>
      <c r="S125" s="702"/>
      <c r="T125" s="702"/>
      <c r="U125" s="702"/>
      <c r="V125" s="702"/>
    </row>
    <row r="126" spans="2:22" ht="11.25" customHeight="1">
      <c r="B126" s="56" t="s">
        <v>528</v>
      </c>
      <c r="C126" s="64">
        <v>5.39</v>
      </c>
      <c r="D126" s="48">
        <v>-0.3</v>
      </c>
      <c r="F126" s="56">
        <v>6.31</v>
      </c>
      <c r="G126" s="48">
        <v>-0.3</v>
      </c>
      <c r="I126" s="56" t="s">
        <v>534</v>
      </c>
      <c r="J126" s="56">
        <v>0.05</v>
      </c>
      <c r="N126" s="702"/>
      <c r="O126" s="702"/>
      <c r="P126" s="702"/>
      <c r="Q126" s="702"/>
      <c r="R126" s="702"/>
      <c r="S126" s="702"/>
      <c r="T126" s="702"/>
      <c r="U126" s="702"/>
      <c r="V126" s="702"/>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702" t="s">
        <v>564</v>
      </c>
      <c r="O128" s="702"/>
      <c r="P128" s="702"/>
      <c r="Q128" s="702"/>
      <c r="R128" s="702"/>
      <c r="S128" s="702"/>
      <c r="T128" s="702"/>
      <c r="U128" s="702"/>
      <c r="V128" s="702"/>
    </row>
    <row r="129" spans="2:22" ht="11.25" customHeight="1">
      <c r="B129" s="56" t="s">
        <v>531</v>
      </c>
      <c r="C129" s="64">
        <v>28.26</v>
      </c>
      <c r="D129" s="48">
        <v>-1.5</v>
      </c>
      <c r="F129" s="56">
        <v>34.07</v>
      </c>
      <c r="G129" s="48">
        <v>-1.5</v>
      </c>
      <c r="I129" s="56" t="s">
        <v>535</v>
      </c>
      <c r="J129" s="56">
        <v>0.1</v>
      </c>
      <c r="N129" s="702"/>
      <c r="O129" s="702"/>
      <c r="P129" s="702"/>
      <c r="Q129" s="702"/>
      <c r="R129" s="702"/>
      <c r="S129" s="702"/>
      <c r="T129" s="702"/>
      <c r="U129" s="702"/>
      <c r="V129" s="702"/>
    </row>
    <row r="130" spans="2:22" ht="11.25" customHeight="1">
      <c r="B130" s="56" t="s">
        <v>532</v>
      </c>
      <c r="C130" s="64">
        <v>5.32</v>
      </c>
      <c r="D130" s="48">
        <v>-0.2</v>
      </c>
      <c r="F130" s="56">
        <v>5.56</v>
      </c>
      <c r="G130" s="48">
        <v>-0.2</v>
      </c>
      <c r="I130" s="56" t="s">
        <v>536</v>
      </c>
      <c r="J130" s="56">
        <v>0.01</v>
      </c>
      <c r="N130" s="702"/>
      <c r="O130" s="702"/>
      <c r="P130" s="702"/>
      <c r="Q130" s="702"/>
      <c r="R130" s="702"/>
      <c r="S130" s="702"/>
      <c r="T130" s="702"/>
      <c r="U130" s="702"/>
      <c r="V130" s="702"/>
    </row>
    <row r="131" spans="2:22" ht="11.25" customHeight="1">
      <c r="B131" s="56" t="s">
        <v>533</v>
      </c>
      <c r="C131" s="64">
        <v>3.27</v>
      </c>
      <c r="D131" s="48">
        <v>-0.2</v>
      </c>
      <c r="F131" s="56">
        <v>3.88</v>
      </c>
      <c r="G131" s="48">
        <v>-0.2</v>
      </c>
      <c r="I131" s="56" t="s">
        <v>537</v>
      </c>
      <c r="J131" s="56">
        <v>0.09</v>
      </c>
      <c r="N131" s="702"/>
      <c r="O131" s="702"/>
      <c r="P131" s="702"/>
      <c r="Q131" s="702"/>
      <c r="R131" s="702"/>
      <c r="S131" s="702"/>
      <c r="T131" s="702"/>
      <c r="U131" s="702"/>
      <c r="V131" s="702"/>
    </row>
    <row r="132" spans="2:22" ht="11.25" customHeight="1">
      <c r="B132" s="63" t="s">
        <v>538</v>
      </c>
      <c r="C132" s="52"/>
      <c r="F132" s="52"/>
      <c r="I132" s="52"/>
      <c r="J132" s="52"/>
      <c r="N132" s="702"/>
      <c r="O132" s="702"/>
      <c r="P132" s="702"/>
      <c r="Q132" s="702"/>
      <c r="R132" s="702"/>
      <c r="S132" s="702"/>
      <c r="T132" s="702"/>
      <c r="U132" s="702"/>
      <c r="V132" s="702"/>
    </row>
    <row r="133" spans="2:22" ht="11.25" customHeight="1">
      <c r="B133" s="56" t="s">
        <v>539</v>
      </c>
      <c r="C133" s="64">
        <v>7.72</v>
      </c>
      <c r="D133" s="48">
        <v>-0.7</v>
      </c>
      <c r="F133" s="56">
        <v>9.1999999999999993</v>
      </c>
      <c r="G133" s="48">
        <v>-0.7</v>
      </c>
      <c r="I133" s="56" t="s">
        <v>543</v>
      </c>
      <c r="J133" s="56">
        <v>0.04</v>
      </c>
      <c r="N133" s="702"/>
      <c r="O133" s="702"/>
      <c r="P133" s="702"/>
      <c r="Q133" s="702"/>
      <c r="R133" s="702"/>
      <c r="S133" s="702"/>
      <c r="T133" s="702"/>
      <c r="U133" s="702"/>
      <c r="V133" s="702"/>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708" t="s">
        <v>573</v>
      </c>
      <c r="M135" s="708"/>
      <c r="N135" s="708"/>
      <c r="O135" s="708"/>
      <c r="P135" s="708"/>
      <c r="Q135" s="708"/>
      <c r="R135" s="708"/>
      <c r="S135" s="708"/>
      <c r="T135" s="708"/>
      <c r="U135" s="708"/>
      <c r="V135" s="708"/>
    </row>
    <row r="136" spans="2:22" ht="11.25" customHeight="1">
      <c r="B136" s="56" t="s">
        <v>542</v>
      </c>
      <c r="C136" s="64">
        <v>21.24</v>
      </c>
      <c r="D136" s="48">
        <v>-1.4</v>
      </c>
      <c r="F136" s="56">
        <v>25.86</v>
      </c>
      <c r="G136" s="48">
        <v>-1.3</v>
      </c>
      <c r="I136" s="56" t="s">
        <v>544</v>
      </c>
      <c r="J136" s="56">
        <v>0.08</v>
      </c>
      <c r="L136" s="708"/>
      <c r="M136" s="708"/>
      <c r="N136" s="708"/>
      <c r="O136" s="708"/>
      <c r="P136" s="708"/>
      <c r="Q136" s="708"/>
      <c r="R136" s="708"/>
      <c r="S136" s="708"/>
      <c r="T136" s="708"/>
      <c r="U136" s="708"/>
      <c r="V136" s="708"/>
    </row>
    <row r="137" spans="2:22" ht="11.25" customHeight="1">
      <c r="B137" s="63" t="s">
        <v>545</v>
      </c>
      <c r="C137" s="52"/>
      <c r="F137" s="52"/>
      <c r="I137" s="52"/>
      <c r="J137" s="52"/>
      <c r="L137" s="708"/>
      <c r="M137" s="708"/>
      <c r="N137" s="708"/>
      <c r="O137" s="708"/>
      <c r="P137" s="708"/>
      <c r="Q137" s="708"/>
      <c r="R137" s="708"/>
      <c r="S137" s="708"/>
      <c r="T137" s="708"/>
      <c r="U137" s="708"/>
      <c r="V137" s="708"/>
    </row>
    <row r="138" spans="2:22" ht="11.25" customHeight="1">
      <c r="B138" s="56" t="s">
        <v>546</v>
      </c>
      <c r="C138" s="64">
        <v>97.93</v>
      </c>
      <c r="D138" s="48">
        <v>-2.2999999999999998</v>
      </c>
      <c r="F138" s="56">
        <v>108.37</v>
      </c>
      <c r="G138" s="48">
        <v>-2.2999999999999998</v>
      </c>
      <c r="I138" s="56" t="s">
        <v>562</v>
      </c>
      <c r="J138" s="56">
        <v>0.14000000000000001</v>
      </c>
      <c r="L138" s="708"/>
      <c r="M138" s="708"/>
      <c r="N138" s="708"/>
      <c r="O138" s="708"/>
      <c r="P138" s="708"/>
      <c r="Q138" s="708"/>
      <c r="R138" s="708"/>
      <c r="S138" s="708"/>
      <c r="T138" s="708"/>
      <c r="U138" s="708"/>
      <c r="V138" s="708"/>
    </row>
    <row r="139" spans="2:22" ht="11.25" customHeight="1">
      <c r="B139" s="56" t="s">
        <v>547</v>
      </c>
      <c r="C139" s="48">
        <v>96.55</v>
      </c>
      <c r="D139" s="48">
        <v>-2.2999999999999998</v>
      </c>
      <c r="F139" s="56">
        <v>101.64</v>
      </c>
      <c r="G139" s="48">
        <v>-2.2999999999999998</v>
      </c>
      <c r="I139" s="48" t="s">
        <v>563</v>
      </c>
      <c r="J139" s="56">
        <v>0.04</v>
      </c>
      <c r="L139" s="708"/>
      <c r="M139" s="708"/>
      <c r="N139" s="708"/>
      <c r="O139" s="708"/>
      <c r="P139" s="708"/>
      <c r="Q139" s="708"/>
      <c r="R139" s="708"/>
      <c r="S139" s="708"/>
      <c r="T139" s="708"/>
      <c r="U139" s="708"/>
      <c r="V139" s="708"/>
    </row>
    <row r="140" spans="2:22" ht="11.25" customHeight="1" thickBot="1">
      <c r="B140" s="59" t="s">
        <v>548</v>
      </c>
      <c r="C140" s="64">
        <v>85.83</v>
      </c>
      <c r="D140" s="48">
        <v>-2.2999999999999998</v>
      </c>
      <c r="F140" s="56">
        <v>101.49</v>
      </c>
      <c r="G140" s="48">
        <v>-2.2999999999999998</v>
      </c>
      <c r="I140" s="56" t="s">
        <v>549</v>
      </c>
      <c r="J140" s="56">
        <v>0.27</v>
      </c>
      <c r="L140" s="708"/>
      <c r="M140" s="708"/>
      <c r="N140" s="708"/>
      <c r="O140" s="708"/>
      <c r="P140" s="708"/>
      <c r="Q140" s="708"/>
      <c r="R140" s="708"/>
      <c r="S140" s="708"/>
      <c r="T140" s="708"/>
      <c r="U140" s="708"/>
      <c r="V140" s="708"/>
    </row>
    <row r="141" spans="2:22" ht="11.25" customHeight="1">
      <c r="L141" s="708"/>
      <c r="M141" s="708"/>
      <c r="N141" s="708"/>
      <c r="O141" s="708"/>
      <c r="P141" s="708"/>
      <c r="Q141" s="708"/>
      <c r="R141" s="708"/>
      <c r="S141" s="708"/>
      <c r="T141" s="708"/>
      <c r="U141" s="708"/>
      <c r="V141" s="708"/>
    </row>
    <row r="142" spans="2:22" ht="11.25" customHeight="1">
      <c r="B142" s="65" t="s">
        <v>556</v>
      </c>
      <c r="L142" s="708"/>
      <c r="M142" s="708"/>
      <c r="N142" s="708"/>
      <c r="O142" s="708"/>
      <c r="P142" s="708"/>
      <c r="Q142" s="708"/>
      <c r="R142" s="708"/>
      <c r="S142" s="708"/>
      <c r="T142" s="708"/>
      <c r="U142" s="708"/>
      <c r="V142" s="708"/>
    </row>
    <row r="143" spans="2:22" ht="11.25" customHeight="1">
      <c r="B143" s="66" t="s">
        <v>557</v>
      </c>
      <c r="L143" s="708"/>
      <c r="M143" s="708"/>
      <c r="N143" s="708"/>
      <c r="O143" s="708"/>
      <c r="P143" s="708"/>
      <c r="Q143" s="708"/>
      <c r="R143" s="708"/>
      <c r="S143" s="708"/>
      <c r="T143" s="708"/>
      <c r="U143" s="708"/>
      <c r="V143" s="708"/>
    </row>
    <row r="144" spans="2:22" ht="11.25" customHeight="1">
      <c r="L144" s="708"/>
      <c r="M144" s="708"/>
      <c r="N144" s="708"/>
      <c r="O144" s="708"/>
      <c r="P144" s="708"/>
      <c r="Q144" s="708"/>
      <c r="R144" s="708"/>
      <c r="S144" s="708"/>
      <c r="T144" s="708"/>
      <c r="U144" s="708"/>
      <c r="V144" s="708"/>
    </row>
    <row r="146" spans="1:22" ht="11.25" customHeight="1">
      <c r="B146" s="49" t="s">
        <v>587</v>
      </c>
    </row>
    <row r="148" spans="1:22" ht="11.25" customHeight="1">
      <c r="B148" s="48" t="s">
        <v>588</v>
      </c>
    </row>
    <row r="149" spans="1:22" ht="11.25" customHeight="1">
      <c r="C149" s="701" t="s">
        <v>304</v>
      </c>
      <c r="D149" s="701"/>
      <c r="F149" s="701" t="s">
        <v>297</v>
      </c>
      <c r="G149" s="701"/>
      <c r="K149" s="709" t="s">
        <v>615</v>
      </c>
      <c r="L149" s="710"/>
      <c r="M149" s="710"/>
      <c r="N149" s="710"/>
      <c r="O149" s="710"/>
      <c r="P149" s="710"/>
      <c r="Q149" s="710"/>
      <c r="R149" s="710"/>
      <c r="S149" s="710"/>
      <c r="T149" s="710"/>
      <c r="U149" s="710"/>
      <c r="V149" s="710"/>
    </row>
    <row r="150" spans="1:22" ht="11.25" customHeight="1">
      <c r="C150" s="48" t="s">
        <v>18</v>
      </c>
      <c r="D150" s="48" t="s">
        <v>10</v>
      </c>
      <c r="E150" s="48" t="s">
        <v>423</v>
      </c>
      <c r="F150" s="48" t="s">
        <v>18</v>
      </c>
      <c r="G150" s="48" t="s">
        <v>10</v>
      </c>
      <c r="H150" s="48" t="s">
        <v>608</v>
      </c>
      <c r="K150" s="710"/>
      <c r="L150" s="710"/>
      <c r="M150" s="710"/>
      <c r="N150" s="710"/>
      <c r="O150" s="710"/>
      <c r="P150" s="710"/>
      <c r="Q150" s="710"/>
      <c r="R150" s="710"/>
      <c r="S150" s="710"/>
      <c r="T150" s="710"/>
      <c r="U150" s="710"/>
      <c r="V150" s="710"/>
    </row>
    <row r="151" spans="1:22" ht="11.25" customHeight="1">
      <c r="A151" s="50" t="s">
        <v>613</v>
      </c>
      <c r="B151" s="48" t="s">
        <v>595</v>
      </c>
      <c r="C151" s="48" t="s">
        <v>590</v>
      </c>
      <c r="D151" s="48">
        <v>103</v>
      </c>
      <c r="F151" s="48">
        <v>383</v>
      </c>
      <c r="G151" s="48">
        <v>80</v>
      </c>
      <c r="K151" s="710"/>
      <c r="L151" s="710"/>
      <c r="M151" s="710"/>
      <c r="N151" s="710"/>
      <c r="O151" s="710"/>
      <c r="P151" s="710"/>
      <c r="Q151" s="710"/>
      <c r="R151" s="710"/>
      <c r="S151" s="710"/>
      <c r="T151" s="710"/>
      <c r="U151" s="710"/>
      <c r="V151" s="710"/>
    </row>
    <row r="152" spans="1:22" ht="11.25" customHeight="1">
      <c r="B152" s="48" t="s">
        <v>596</v>
      </c>
      <c r="C152" s="48" t="s">
        <v>591</v>
      </c>
      <c r="D152" s="48">
        <v>81</v>
      </c>
      <c r="F152" s="48">
        <v>94</v>
      </c>
      <c r="G152" s="48">
        <v>48</v>
      </c>
      <c r="K152" s="710"/>
      <c r="L152" s="710"/>
      <c r="M152" s="710"/>
      <c r="N152" s="710"/>
      <c r="O152" s="710"/>
      <c r="P152" s="710"/>
      <c r="Q152" s="710"/>
      <c r="R152" s="710"/>
      <c r="S152" s="710"/>
      <c r="T152" s="710"/>
      <c r="U152" s="710"/>
      <c r="V152" s="710"/>
    </row>
    <row r="153" spans="1:22" ht="11.25" customHeight="1">
      <c r="B153" s="48" t="s">
        <v>597</v>
      </c>
      <c r="C153" s="48" t="s">
        <v>592</v>
      </c>
      <c r="D153" s="48">
        <v>138</v>
      </c>
      <c r="F153" s="48">
        <v>587</v>
      </c>
      <c r="G153" s="48">
        <v>134</v>
      </c>
      <c r="K153" s="710"/>
      <c r="L153" s="710"/>
      <c r="M153" s="710"/>
      <c r="N153" s="710"/>
      <c r="O153" s="710"/>
      <c r="P153" s="710"/>
      <c r="Q153" s="710"/>
      <c r="R153" s="710"/>
      <c r="S153" s="710"/>
      <c r="T153" s="710"/>
      <c r="U153" s="710"/>
      <c r="V153" s="710"/>
    </row>
    <row r="154" spans="1:22" ht="11.25" customHeight="1">
      <c r="B154" s="48" t="s">
        <v>598</v>
      </c>
      <c r="C154" s="48" t="s">
        <v>593</v>
      </c>
      <c r="D154" s="48">
        <v>77</v>
      </c>
      <c r="F154" s="48">
        <v>145</v>
      </c>
      <c r="G154" s="48">
        <v>57</v>
      </c>
      <c r="K154" s="710"/>
      <c r="L154" s="710"/>
      <c r="M154" s="710"/>
      <c r="N154" s="710"/>
      <c r="O154" s="710"/>
      <c r="P154" s="710"/>
      <c r="Q154" s="710"/>
      <c r="R154" s="710"/>
      <c r="S154" s="710"/>
      <c r="T154" s="710"/>
      <c r="U154" s="710"/>
      <c r="V154" s="710"/>
    </row>
    <row r="155" spans="1:22" ht="11.25" customHeight="1">
      <c r="B155" s="48" t="s">
        <v>599</v>
      </c>
      <c r="C155" s="48" t="s">
        <v>594</v>
      </c>
      <c r="D155" s="48">
        <v>162</v>
      </c>
      <c r="F155" s="48">
        <v>479</v>
      </c>
      <c r="G155" s="48">
        <v>175</v>
      </c>
      <c r="K155" s="710"/>
      <c r="L155" s="710"/>
      <c r="M155" s="710"/>
      <c r="N155" s="710"/>
      <c r="O155" s="710"/>
      <c r="P155" s="710"/>
      <c r="Q155" s="710"/>
      <c r="R155" s="710"/>
      <c r="S155" s="710"/>
      <c r="T155" s="710"/>
      <c r="U155" s="710"/>
      <c r="V155" s="710"/>
    </row>
    <row r="156" spans="1:22" ht="11.25" customHeight="1">
      <c r="B156" s="48" t="s">
        <v>600</v>
      </c>
      <c r="C156" s="48">
        <v>199</v>
      </c>
      <c r="D156" s="48">
        <v>130</v>
      </c>
      <c r="F156" s="48">
        <v>155</v>
      </c>
      <c r="G156" s="48">
        <v>127</v>
      </c>
      <c r="K156" s="710"/>
      <c r="L156" s="710"/>
      <c r="M156" s="710"/>
      <c r="N156" s="710"/>
      <c r="O156" s="710"/>
      <c r="P156" s="710"/>
      <c r="Q156" s="710"/>
      <c r="R156" s="710"/>
      <c r="S156" s="710"/>
      <c r="T156" s="710"/>
      <c r="U156" s="710"/>
      <c r="V156" s="710"/>
    </row>
    <row r="157" spans="1:22" ht="11.25" customHeight="1">
      <c r="B157" s="67" t="s">
        <v>616</v>
      </c>
      <c r="K157" s="710"/>
      <c r="L157" s="710"/>
      <c r="M157" s="710"/>
      <c r="N157" s="710"/>
      <c r="O157" s="710"/>
      <c r="P157" s="710"/>
      <c r="Q157" s="710"/>
      <c r="R157" s="710"/>
      <c r="S157" s="710"/>
      <c r="T157" s="710"/>
      <c r="U157" s="710"/>
      <c r="V157" s="710"/>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711" t="s">
        <v>304</v>
      </c>
      <c r="D171" s="711"/>
      <c r="E171" s="711"/>
      <c r="G171" s="711" t="s">
        <v>297</v>
      </c>
      <c r="H171" s="711"/>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701" t="s">
        <v>304</v>
      </c>
      <c r="D205" s="701"/>
      <c r="F205" s="701" t="s">
        <v>297</v>
      </c>
      <c r="G205" s="701"/>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713" t="s">
        <v>732</v>
      </c>
      <c r="F3" s="713"/>
      <c r="G3" s="713"/>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713" t="s">
        <v>760</v>
      </c>
      <c r="F22" s="713"/>
      <c r="G22" s="713"/>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713" t="s">
        <v>765</v>
      </c>
      <c r="F38" s="713"/>
      <c r="G38" s="713"/>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714" t="s">
        <v>832</v>
      </c>
      <c r="D91" s="714"/>
    </row>
    <row r="92" spans="2:12" ht="68">
      <c r="C92" s="79" t="s">
        <v>833</v>
      </c>
    </row>
    <row r="95" spans="2:12" ht="30" customHeight="1">
      <c r="B95" s="96" t="s">
        <v>834</v>
      </c>
      <c r="C95" s="714" t="s">
        <v>844</v>
      </c>
      <c r="D95" s="714"/>
      <c r="E95" s="713" t="s">
        <v>835</v>
      </c>
      <c r="F95" s="713"/>
      <c r="G95" s="713"/>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712" t="s">
        <v>848</v>
      </c>
      <c r="F108" s="712"/>
      <c r="G108" s="712"/>
      <c r="I108" s="712" t="s">
        <v>849</v>
      </c>
      <c r="J108" s="712"/>
      <c r="K108" s="712"/>
    </row>
    <row r="109" spans="2:11" ht="15" customHeight="1">
      <c r="B109" s="78" t="s">
        <v>851</v>
      </c>
    </row>
    <row r="110" spans="2:11">
      <c r="B110" s="714" t="s">
        <v>852</v>
      </c>
      <c r="C110" s="715"/>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712" t="s">
        <v>871</v>
      </c>
      <c r="F138" s="712"/>
      <c r="G138" s="712"/>
      <c r="I138" s="712" t="s">
        <v>873</v>
      </c>
      <c r="J138" s="712"/>
      <c r="K138" s="712"/>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712" t="s">
        <v>894</v>
      </c>
      <c r="D166" s="712"/>
      <c r="E166" s="712"/>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3C634-D711-439A-A3A1-F6FCB1FF8E24}">
  <dimension ref="A1:AL93"/>
  <sheetViews>
    <sheetView topLeftCell="A29" zoomScale="120" zoomScaleNormal="120" workbookViewId="0">
      <selection activeCell="I55" sqref="I55"/>
    </sheetView>
  </sheetViews>
  <sheetFormatPr baseColWidth="10" defaultColWidth="8.83203125" defaultRowHeight="13" customHeight="1"/>
  <cols>
    <col min="1" max="1" width="4.6640625" style="31" customWidth="1"/>
    <col min="2" max="2" width="6.83203125" style="31" customWidth="1"/>
    <col min="3" max="3" width="22.1640625" style="31" customWidth="1"/>
    <col min="4" max="4" width="19.1640625" style="30" hidden="1" customWidth="1"/>
    <col min="5" max="5" width="10.1640625" style="31" customWidth="1"/>
    <col min="6" max="6" width="10" style="31" hidden="1" customWidth="1"/>
    <col min="7" max="7" width="6.6640625" style="31" customWidth="1"/>
    <col min="8" max="8" width="4.6640625" style="31" customWidth="1"/>
    <col min="9" max="9" width="7.83203125" style="120" customWidth="1"/>
    <col min="10" max="10" width="5.83203125" style="31" customWidth="1"/>
    <col min="11" max="11" width="8" style="31" customWidth="1"/>
    <col min="12" max="12" width="1.6640625" style="31" customWidth="1"/>
    <col min="13" max="13" width="6.33203125" style="31" hidden="1" customWidth="1"/>
    <col min="14" max="15" width="4.83203125" style="31" hidden="1" customWidth="1"/>
    <col min="16" max="16" width="9" style="31" customWidth="1"/>
    <col min="17" max="17" width="5.83203125" style="31" customWidth="1"/>
    <col min="18" max="18" width="4" style="31" customWidth="1"/>
    <col min="19" max="19" width="10" style="31" hidden="1" customWidth="1"/>
    <col min="20" max="20" width="7.1640625" style="31" customWidth="1"/>
    <col min="21" max="21" width="4.83203125" style="31" customWidth="1"/>
    <col min="22" max="22" width="7.5" style="31" customWidth="1"/>
    <col min="23" max="23" width="5.5" style="31" customWidth="1"/>
    <col min="24" max="24" width="9.332031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7.1640625" style="31" customWidth="1"/>
    <col min="31" max="31" width="29.1640625" style="30" customWidth="1"/>
    <col min="32" max="32" width="14.5" style="31" customWidth="1"/>
    <col min="33" max="33" width="8.5" style="31" customWidth="1"/>
    <col min="34" max="16384" width="8.83203125" style="31"/>
  </cols>
  <sheetData>
    <row r="1" spans="2:35" ht="13" customHeight="1">
      <c r="C1" s="417" t="s">
        <v>2707</v>
      </c>
    </row>
    <row r="2" spans="2:35" ht="13" customHeight="1">
      <c r="B2" s="176"/>
    </row>
    <row r="3" spans="2:35" ht="13" customHeight="1">
      <c r="C3" s="140"/>
      <c r="D3" s="197"/>
      <c r="E3" s="140"/>
      <c r="F3" s="140"/>
      <c r="G3" s="640" t="s">
        <v>0</v>
      </c>
      <c r="H3" s="640"/>
      <c r="I3" s="640"/>
      <c r="J3" s="640"/>
      <c r="K3" s="640"/>
      <c r="L3" s="640"/>
      <c r="M3" s="640"/>
      <c r="N3" s="640"/>
      <c r="O3" s="640"/>
      <c r="P3" s="640"/>
      <c r="Q3" s="640"/>
      <c r="R3" s="123"/>
      <c r="S3" s="140"/>
      <c r="T3" s="640" t="s">
        <v>1</v>
      </c>
      <c r="U3" s="640"/>
      <c r="V3" s="640"/>
      <c r="W3" s="640"/>
      <c r="X3" s="123"/>
      <c r="Y3" s="123"/>
      <c r="Z3" s="123"/>
      <c r="AA3" s="140"/>
      <c r="AB3" s="140"/>
      <c r="AC3" s="140"/>
      <c r="AD3" s="140"/>
      <c r="AE3" s="197"/>
      <c r="AF3" s="140"/>
      <c r="AG3" s="140"/>
      <c r="AI3" s="120"/>
    </row>
    <row r="4" spans="2:35" ht="13" customHeight="1">
      <c r="C4" s="654" t="s">
        <v>2688</v>
      </c>
      <c r="D4" s="654"/>
      <c r="E4" s="654"/>
      <c r="F4" s="30"/>
      <c r="G4" s="110"/>
      <c r="H4" s="110"/>
      <c r="I4" s="641" t="s">
        <v>208</v>
      </c>
      <c r="J4" s="641"/>
      <c r="K4" s="641"/>
      <c r="L4" s="109"/>
      <c r="M4" s="641" t="s">
        <v>188</v>
      </c>
      <c r="N4" s="641"/>
      <c r="O4" s="641"/>
      <c r="P4" s="642" t="s">
        <v>1137</v>
      </c>
      <c r="Q4" s="642"/>
      <c r="R4" s="109"/>
      <c r="S4" s="30"/>
      <c r="T4" s="30"/>
      <c r="U4" s="30"/>
      <c r="V4" s="638" t="s">
        <v>208</v>
      </c>
      <c r="W4" s="638"/>
      <c r="X4" s="638"/>
      <c r="Z4" s="638" t="s">
        <v>188</v>
      </c>
      <c r="AA4" s="638"/>
      <c r="AB4" s="30"/>
      <c r="AC4" s="30"/>
      <c r="AD4" s="639" t="s">
        <v>209</v>
      </c>
      <c r="AE4" s="639"/>
      <c r="AF4" s="111"/>
      <c r="AG4" s="639"/>
    </row>
    <row r="5" spans="2:35" ht="13" customHeight="1">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638"/>
      <c r="AE5" s="638"/>
      <c r="AF5" s="111"/>
      <c r="AG5" s="638"/>
    </row>
    <row r="6" spans="2:35"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1839</v>
      </c>
      <c r="T6" s="110">
        <v>40</v>
      </c>
      <c r="U6" s="110">
        <v>20</v>
      </c>
      <c r="V6" s="110">
        <v>29.8</v>
      </c>
      <c r="W6" s="109">
        <v>8.1999999999999993</v>
      </c>
      <c r="X6" s="109" t="s">
        <v>24</v>
      </c>
      <c r="Y6" s="109"/>
      <c r="Z6" s="109"/>
      <c r="AB6" s="110"/>
      <c r="AC6" s="110"/>
      <c r="AD6" s="110" t="s">
        <v>218</v>
      </c>
      <c r="AE6" s="109" t="s">
        <v>24</v>
      </c>
      <c r="AF6" s="111"/>
      <c r="AG6" s="119"/>
    </row>
    <row r="7" spans="2:35" s="119" customFormat="1" ht="13" customHeight="1">
      <c r="B7" s="31" t="s">
        <v>925</v>
      </c>
      <c r="C7" s="119" t="s">
        <v>220</v>
      </c>
      <c r="E7" s="110" t="s">
        <v>221</v>
      </c>
      <c r="G7" s="26">
        <v>154</v>
      </c>
      <c r="H7" s="26">
        <v>85</v>
      </c>
      <c r="I7" s="228">
        <v>32.299999999999997</v>
      </c>
      <c r="J7" s="119">
        <v>9.0399999999999991</v>
      </c>
      <c r="K7" s="119" t="s">
        <v>24</v>
      </c>
      <c r="P7" s="26">
        <v>908</v>
      </c>
      <c r="Q7" s="26">
        <v>359</v>
      </c>
      <c r="R7" s="26"/>
      <c r="S7" s="119" t="s">
        <v>1085</v>
      </c>
      <c r="T7" s="26">
        <v>76</v>
      </c>
      <c r="U7" s="26">
        <v>46</v>
      </c>
      <c r="V7" s="119">
        <v>36.299999999999997</v>
      </c>
      <c r="W7" s="119">
        <v>9.15</v>
      </c>
      <c r="X7" s="119" t="s">
        <v>24</v>
      </c>
      <c r="AD7" s="110" t="s">
        <v>218</v>
      </c>
      <c r="AE7" s="110" t="s">
        <v>23</v>
      </c>
    </row>
    <row r="8" spans="2:35" ht="13" customHeight="1">
      <c r="B8" s="31" t="s">
        <v>925</v>
      </c>
      <c r="C8" s="110" t="s">
        <v>222</v>
      </c>
      <c r="E8" s="110" t="s">
        <v>223</v>
      </c>
      <c r="F8" s="30"/>
      <c r="G8" s="116">
        <v>46</v>
      </c>
      <c r="H8" s="116">
        <v>21</v>
      </c>
      <c r="I8" s="109">
        <v>29.5</v>
      </c>
      <c r="J8" s="110" t="s">
        <v>24</v>
      </c>
      <c r="K8" s="110" t="s">
        <v>1840</v>
      </c>
      <c r="L8" s="110"/>
      <c r="M8" s="110"/>
      <c r="N8" s="30"/>
      <c r="O8" s="30"/>
      <c r="P8" s="241">
        <v>594.79999999999995</v>
      </c>
      <c r="Q8" s="116">
        <v>279</v>
      </c>
      <c r="R8" s="116"/>
      <c r="S8" s="31" t="s">
        <v>24</v>
      </c>
      <c r="T8" s="116">
        <v>31</v>
      </c>
      <c r="U8" s="110">
        <v>11</v>
      </c>
      <c r="V8" s="110">
        <v>25</v>
      </c>
      <c r="W8" s="110" t="s">
        <v>24</v>
      </c>
      <c r="X8" s="110" t="s">
        <v>1841</v>
      </c>
      <c r="Y8" s="110"/>
      <c r="Z8" s="110"/>
      <c r="AB8" s="30"/>
      <c r="AC8" s="30"/>
      <c r="AD8" s="110" t="s">
        <v>224</v>
      </c>
      <c r="AE8" s="110" t="s">
        <v>23</v>
      </c>
      <c r="AF8" s="110"/>
      <c r="AG8" s="116"/>
    </row>
    <row r="9" spans="2:35" ht="13" customHeight="1">
      <c r="B9" s="31" t="s">
        <v>925</v>
      </c>
      <c r="C9" s="110" t="s">
        <v>1842</v>
      </c>
      <c r="D9" s="110" t="s">
        <v>225</v>
      </c>
      <c r="E9" s="110" t="s">
        <v>226</v>
      </c>
      <c r="F9" s="30"/>
      <c r="G9" s="110">
        <v>8</v>
      </c>
      <c r="H9" s="116">
        <v>3</v>
      </c>
      <c r="I9" s="111">
        <v>19.7</v>
      </c>
      <c r="J9" s="110">
        <v>1.1000000000000001</v>
      </c>
      <c r="K9" s="110" t="s">
        <v>24</v>
      </c>
      <c r="L9" s="110"/>
      <c r="M9" s="110">
        <v>108</v>
      </c>
      <c r="N9" s="116">
        <v>10</v>
      </c>
      <c r="O9" s="116" t="s">
        <v>24</v>
      </c>
      <c r="P9" s="241">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5" ht="13" customHeight="1">
      <c r="B10" s="31" t="s">
        <v>925</v>
      </c>
      <c r="C10" s="110" t="s">
        <v>227</v>
      </c>
      <c r="D10" s="110" t="s">
        <v>225</v>
      </c>
      <c r="E10" s="110" t="s">
        <v>221</v>
      </c>
      <c r="F10" s="30"/>
      <c r="G10" s="110">
        <v>20</v>
      </c>
      <c r="H10" s="110">
        <v>8</v>
      </c>
      <c r="I10" s="109">
        <v>24.6</v>
      </c>
      <c r="J10" s="110">
        <v>4.5999999999999996</v>
      </c>
      <c r="K10" s="110" t="s">
        <v>1843</v>
      </c>
      <c r="L10" s="110"/>
      <c r="M10" s="110"/>
      <c r="N10" s="30"/>
      <c r="O10" s="30"/>
      <c r="P10" s="164">
        <v>859</v>
      </c>
      <c r="Q10" s="110">
        <v>285</v>
      </c>
      <c r="R10" s="110"/>
      <c r="S10" s="30" t="s">
        <v>1844</v>
      </c>
      <c r="T10" s="110">
        <v>20</v>
      </c>
      <c r="U10" s="110">
        <v>8</v>
      </c>
      <c r="V10" s="110">
        <v>24</v>
      </c>
      <c r="W10" s="110">
        <v>4</v>
      </c>
      <c r="X10" s="110" t="s">
        <v>1845</v>
      </c>
      <c r="Y10" s="110"/>
      <c r="Z10" s="110"/>
      <c r="AB10" s="30"/>
      <c r="AC10" s="30"/>
      <c r="AD10" s="110" t="s">
        <v>218</v>
      </c>
      <c r="AE10" s="455" t="s">
        <v>23</v>
      </c>
      <c r="AF10" s="110"/>
      <c r="AG10" s="116"/>
    </row>
    <row r="11" spans="2:35" ht="13" customHeight="1">
      <c r="B11" s="31" t="s">
        <v>925</v>
      </c>
      <c r="C11" s="110" t="s">
        <v>229</v>
      </c>
      <c r="D11" s="110" t="s">
        <v>225</v>
      </c>
      <c r="E11" s="110" t="s">
        <v>221</v>
      </c>
      <c r="F11" s="30"/>
      <c r="G11" s="116">
        <v>25</v>
      </c>
      <c r="H11" s="116">
        <v>12</v>
      </c>
      <c r="I11" s="109">
        <v>26.7</v>
      </c>
      <c r="J11" s="110">
        <v>4.9000000000000004</v>
      </c>
      <c r="K11" s="110" t="s">
        <v>1843</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0"/>
    </row>
    <row r="12" spans="2:35" ht="13"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1846</v>
      </c>
      <c r="Y12" s="116"/>
      <c r="Z12" s="116"/>
      <c r="AD12" s="110" t="s">
        <v>232</v>
      </c>
      <c r="AE12" s="110" t="s">
        <v>233</v>
      </c>
      <c r="AF12" s="110"/>
      <c r="AG12" s="116"/>
    </row>
    <row r="13" spans="2:35" ht="13" customHeight="1">
      <c r="B13" s="31" t="s">
        <v>925</v>
      </c>
      <c r="C13" s="31" t="s">
        <v>1847</v>
      </c>
      <c r="E13" s="31" t="s">
        <v>253</v>
      </c>
      <c r="G13" s="31">
        <v>40</v>
      </c>
      <c r="H13" s="31">
        <v>26</v>
      </c>
      <c r="I13" s="120">
        <v>26.4</v>
      </c>
      <c r="J13" s="31">
        <v>5.5</v>
      </c>
      <c r="K13" s="31" t="s">
        <v>1103</v>
      </c>
      <c r="M13" s="31">
        <v>101</v>
      </c>
      <c r="N13" s="31">
        <v>11.1</v>
      </c>
      <c r="O13" s="31" t="s">
        <v>1848</v>
      </c>
      <c r="P13" s="145">
        <v>589</v>
      </c>
      <c r="Q13" s="31">
        <v>444</v>
      </c>
      <c r="S13" s="31" t="s">
        <v>935</v>
      </c>
      <c r="T13" s="31">
        <v>32</v>
      </c>
      <c r="U13" s="31">
        <v>21</v>
      </c>
      <c r="V13" s="31">
        <v>25.9</v>
      </c>
      <c r="W13" s="31">
        <v>4.2</v>
      </c>
      <c r="X13" s="31" t="s">
        <v>1849</v>
      </c>
      <c r="Z13" s="31">
        <v>104</v>
      </c>
      <c r="AA13" s="31">
        <v>9</v>
      </c>
      <c r="AB13" s="31" t="s">
        <v>1850</v>
      </c>
      <c r="AD13" s="31" t="s">
        <v>1995</v>
      </c>
      <c r="AE13" s="30" t="s">
        <v>938</v>
      </c>
      <c r="AG13" s="456"/>
    </row>
    <row r="14" spans="2:35" ht="13" customHeight="1">
      <c r="B14" s="646" t="s">
        <v>925</v>
      </c>
      <c r="C14" s="644"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110" t="s">
        <v>127</v>
      </c>
      <c r="AF14" s="110"/>
      <c r="AG14" s="110"/>
    </row>
    <row r="15" spans="2:35" ht="13" customHeight="1">
      <c r="B15" s="646"/>
      <c r="C15" s="644"/>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110" t="s">
        <v>127</v>
      </c>
      <c r="AF15" s="110"/>
      <c r="AG15" s="110"/>
    </row>
    <row r="16" spans="2:35" ht="13" customHeight="1">
      <c r="B16" s="31" t="s">
        <v>925</v>
      </c>
      <c r="C16" s="110" t="s">
        <v>235</v>
      </c>
      <c r="D16" s="644" t="s">
        <v>2684</v>
      </c>
      <c r="E16" s="648" t="s">
        <v>221</v>
      </c>
      <c r="F16" s="30"/>
      <c r="G16" s="644">
        <v>38</v>
      </c>
      <c r="H16" s="644">
        <v>25</v>
      </c>
      <c r="I16" s="639">
        <v>27.3</v>
      </c>
      <c r="J16" s="644">
        <v>8.1</v>
      </c>
      <c r="K16" s="655" t="s">
        <v>2373</v>
      </c>
      <c r="L16" s="120"/>
      <c r="M16" s="646">
        <v>104.3</v>
      </c>
      <c r="N16" s="657">
        <v>14.2</v>
      </c>
      <c r="O16" s="646" t="s">
        <v>2391</v>
      </c>
      <c r="P16" s="650">
        <v>751</v>
      </c>
      <c r="Q16" s="649">
        <v>319</v>
      </c>
      <c r="R16" s="110"/>
      <c r="S16" s="30" t="s">
        <v>24</v>
      </c>
      <c r="T16" s="644">
        <v>39</v>
      </c>
      <c r="U16" s="644">
        <v>29</v>
      </c>
      <c r="V16" s="644">
        <v>27.8</v>
      </c>
      <c r="W16" s="644">
        <v>8.4</v>
      </c>
      <c r="X16" s="656" t="s">
        <v>2374</v>
      </c>
      <c r="Y16" s="110"/>
      <c r="Z16" s="110"/>
      <c r="AB16" s="30"/>
      <c r="AC16" s="30"/>
      <c r="AD16" s="644" t="s">
        <v>1995</v>
      </c>
      <c r="AE16" s="644" t="s">
        <v>237</v>
      </c>
      <c r="AF16" s="110"/>
      <c r="AG16" s="116"/>
    </row>
    <row r="17" spans="1:38" ht="13" customHeight="1">
      <c r="B17" s="31" t="s">
        <v>925</v>
      </c>
      <c r="C17" s="110" t="s">
        <v>239</v>
      </c>
      <c r="D17" s="644"/>
      <c r="E17" s="648"/>
      <c r="F17" s="30"/>
      <c r="G17" s="644"/>
      <c r="H17" s="644"/>
      <c r="I17" s="639"/>
      <c r="J17" s="644"/>
      <c r="K17" s="655"/>
      <c r="L17" s="110"/>
      <c r="M17" s="646"/>
      <c r="N17" s="657"/>
      <c r="O17" s="646"/>
      <c r="P17" s="650"/>
      <c r="Q17" s="649"/>
      <c r="R17" s="110"/>
      <c r="S17" s="30" t="s">
        <v>24</v>
      </c>
      <c r="T17" s="644"/>
      <c r="U17" s="644"/>
      <c r="V17" s="644"/>
      <c r="W17" s="644"/>
      <c r="X17" s="656"/>
      <c r="Y17" s="110"/>
      <c r="Z17" s="110"/>
      <c r="AB17" s="30"/>
      <c r="AC17" s="30"/>
      <c r="AD17" s="644"/>
      <c r="AE17" s="644"/>
      <c r="AF17" s="110"/>
      <c r="AG17" s="116"/>
    </row>
    <row r="18" spans="1:38" s="120" customFormat="1" ht="13" customHeight="1">
      <c r="A18" s="10"/>
      <c r="B18" s="31" t="s">
        <v>925</v>
      </c>
      <c r="C18" s="116" t="s">
        <v>2375</v>
      </c>
      <c r="D18" s="644"/>
      <c r="E18" s="648"/>
      <c r="F18" s="31" t="s">
        <v>949</v>
      </c>
      <c r="G18" s="644"/>
      <c r="H18" s="644"/>
      <c r="I18" s="639"/>
      <c r="J18" s="644"/>
      <c r="K18" s="655"/>
      <c r="M18" s="646"/>
      <c r="N18" s="657"/>
      <c r="O18" s="646"/>
      <c r="P18" s="650"/>
      <c r="Q18" s="649"/>
      <c r="R18" s="10"/>
      <c r="S18" s="629" t="s">
        <v>24</v>
      </c>
      <c r="T18" s="644"/>
      <c r="U18" s="644"/>
      <c r="V18" s="644"/>
      <c r="W18" s="644"/>
      <c r="X18" s="656"/>
      <c r="Z18" s="630">
        <v>1</v>
      </c>
      <c r="AA18" s="10"/>
      <c r="AD18" s="644"/>
      <c r="AE18" s="644"/>
      <c r="AH18" s="10"/>
      <c r="AJ18" s="10"/>
      <c r="AK18" s="10"/>
      <c r="AL18" s="10"/>
    </row>
    <row r="19" spans="1:38" ht="13" customHeight="1">
      <c r="B19" s="31" t="s">
        <v>925</v>
      </c>
      <c r="C19" s="110" t="s">
        <v>2463</v>
      </c>
      <c r="D19" s="644" t="s">
        <v>2684</v>
      </c>
      <c r="E19" s="648" t="s">
        <v>242</v>
      </c>
      <c r="F19" s="30"/>
      <c r="G19" s="649">
        <v>57</v>
      </c>
      <c r="H19" s="649">
        <v>33</v>
      </c>
      <c r="I19" s="639">
        <v>27.7</v>
      </c>
      <c r="J19" s="644">
        <v>6</v>
      </c>
      <c r="K19" s="644" t="s">
        <v>1857</v>
      </c>
      <c r="L19" s="110"/>
      <c r="M19" s="110"/>
      <c r="N19" s="110"/>
      <c r="O19" s="110"/>
      <c r="P19" s="650">
        <v>655</v>
      </c>
      <c r="Q19" s="644">
        <v>342</v>
      </c>
      <c r="R19" s="110"/>
      <c r="S19" s="644" t="s">
        <v>1858</v>
      </c>
      <c r="T19" s="649">
        <v>57</v>
      </c>
      <c r="U19" s="649">
        <v>38</v>
      </c>
      <c r="V19" s="649">
        <v>28.8</v>
      </c>
      <c r="W19" s="649">
        <v>5.9</v>
      </c>
      <c r="X19" s="649" t="s">
        <v>1856</v>
      </c>
      <c r="Y19" s="116"/>
      <c r="Z19" s="116"/>
      <c r="AB19" s="30"/>
      <c r="AC19" s="30"/>
      <c r="AD19" s="644" t="s">
        <v>1995</v>
      </c>
      <c r="AE19" s="110"/>
      <c r="AF19" s="110"/>
      <c r="AG19" s="110"/>
    </row>
    <row r="20" spans="1:38" ht="13" customHeight="1">
      <c r="B20" s="31" t="s">
        <v>925</v>
      </c>
      <c r="C20" s="110" t="s">
        <v>2462</v>
      </c>
      <c r="D20" s="644"/>
      <c r="E20" s="648"/>
      <c r="F20" s="30"/>
      <c r="G20" s="649"/>
      <c r="H20" s="649"/>
      <c r="I20" s="639"/>
      <c r="J20" s="644"/>
      <c r="K20" s="644"/>
      <c r="L20" s="110"/>
      <c r="M20" s="110"/>
      <c r="N20" s="110"/>
      <c r="O20" s="110"/>
      <c r="P20" s="650"/>
      <c r="Q20" s="644"/>
      <c r="R20" s="110"/>
      <c r="S20" s="644"/>
      <c r="T20" s="649"/>
      <c r="U20" s="649"/>
      <c r="V20" s="649"/>
      <c r="W20" s="649"/>
      <c r="X20" s="649"/>
      <c r="Y20" s="116"/>
      <c r="Z20" s="116"/>
      <c r="AB20" s="30"/>
      <c r="AC20" s="30"/>
      <c r="AD20" s="644"/>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1995</v>
      </c>
      <c r="AE22" s="110" t="s">
        <v>2685</v>
      </c>
      <c r="AF22" s="110"/>
      <c r="AG22" s="110"/>
    </row>
    <row r="23" spans="1:38" ht="13" customHeight="1">
      <c r="B23" s="31" t="s">
        <v>925</v>
      </c>
      <c r="C23" s="31" t="s">
        <v>2055</v>
      </c>
      <c r="D23" s="646" t="s">
        <v>1863</v>
      </c>
      <c r="E23" s="646"/>
      <c r="F23" s="422" t="s">
        <v>1864</v>
      </c>
      <c r="G23" s="31">
        <v>30</v>
      </c>
      <c r="H23" s="31">
        <v>13</v>
      </c>
      <c r="I23" s="120">
        <v>35.5</v>
      </c>
      <c r="J23" s="31" t="s">
        <v>1865</v>
      </c>
      <c r="K23" s="31" t="s">
        <v>1054</v>
      </c>
      <c r="M23" s="31">
        <v>97</v>
      </c>
      <c r="N23" s="31" t="s">
        <v>1866</v>
      </c>
      <c r="O23" s="31" t="s">
        <v>24</v>
      </c>
      <c r="P23" s="145">
        <v>741</v>
      </c>
      <c r="Q23" s="31" t="s">
        <v>1619</v>
      </c>
      <c r="S23" s="31" t="s">
        <v>1867</v>
      </c>
      <c r="T23" s="31">
        <v>54</v>
      </c>
      <c r="U23" s="31">
        <v>26</v>
      </c>
      <c r="V23" s="31">
        <v>29.3</v>
      </c>
      <c r="W23" s="31" t="s">
        <v>1868</v>
      </c>
      <c r="X23" s="31" t="s">
        <v>1869</v>
      </c>
      <c r="Z23" s="31">
        <v>109</v>
      </c>
      <c r="AA23" s="31" t="s">
        <v>1870</v>
      </c>
      <c r="AD23" s="31" t="s">
        <v>2701</v>
      </c>
      <c r="AE23" s="30" t="s">
        <v>938</v>
      </c>
    </row>
    <row r="24" spans="1:38" ht="13" customHeight="1">
      <c r="B24" s="31" t="s">
        <v>925</v>
      </c>
      <c r="C24" s="110" t="s">
        <v>248</v>
      </c>
      <c r="D24" s="110" t="s">
        <v>249</v>
      </c>
      <c r="E24" s="110" t="s">
        <v>250</v>
      </c>
      <c r="F24" s="30"/>
      <c r="G24" s="116">
        <v>14</v>
      </c>
      <c r="H24" s="116">
        <v>12</v>
      </c>
      <c r="I24" s="109">
        <v>24.97</v>
      </c>
      <c r="J24" s="110">
        <v>1.6</v>
      </c>
      <c r="K24" s="110" t="s">
        <v>1750</v>
      </c>
      <c r="L24" s="110"/>
      <c r="M24" s="110"/>
      <c r="N24" s="30"/>
      <c r="O24" s="30"/>
      <c r="P24" s="164" t="s">
        <v>24</v>
      </c>
      <c r="Q24" s="110" t="s">
        <v>24</v>
      </c>
      <c r="R24" s="110"/>
      <c r="S24" s="30" t="s">
        <v>938</v>
      </c>
      <c r="T24" s="116">
        <v>14</v>
      </c>
      <c r="U24" s="110">
        <v>12</v>
      </c>
      <c r="V24" s="110">
        <v>23.7</v>
      </c>
      <c r="W24" s="116">
        <v>2.6</v>
      </c>
      <c r="X24" s="116" t="s">
        <v>1873</v>
      </c>
      <c r="Y24" s="116"/>
      <c r="Z24" s="116"/>
      <c r="AB24" s="30"/>
      <c r="AC24" s="30"/>
      <c r="AD24" s="110" t="s">
        <v>232</v>
      </c>
      <c r="AF24" s="30"/>
      <c r="AG24" s="110"/>
    </row>
    <row r="25" spans="1:38" ht="13" customHeight="1">
      <c r="B25" s="31" t="s">
        <v>925</v>
      </c>
      <c r="C25" s="110" t="s">
        <v>251</v>
      </c>
      <c r="D25" s="110"/>
      <c r="E25" s="110" t="s">
        <v>226</v>
      </c>
      <c r="F25" s="30"/>
      <c r="G25" s="116">
        <v>57</v>
      </c>
      <c r="H25" s="116">
        <v>33</v>
      </c>
      <c r="I25" s="109">
        <v>23.6</v>
      </c>
      <c r="J25" s="110">
        <v>3.4</v>
      </c>
      <c r="K25" s="110" t="s">
        <v>1874</v>
      </c>
      <c r="L25" s="110"/>
      <c r="M25" s="110"/>
      <c r="N25" s="110"/>
      <c r="O25" s="110"/>
      <c r="P25" s="164">
        <v>1085</v>
      </c>
      <c r="Q25" s="110">
        <v>303</v>
      </c>
      <c r="R25" s="110"/>
      <c r="S25" s="110" t="s">
        <v>1875</v>
      </c>
      <c r="T25" s="116">
        <v>40</v>
      </c>
      <c r="U25" s="116">
        <v>24</v>
      </c>
      <c r="V25" s="116">
        <v>23</v>
      </c>
      <c r="W25" s="116" t="s">
        <v>24</v>
      </c>
      <c r="X25" s="116" t="s">
        <v>1874</v>
      </c>
      <c r="Y25" s="116"/>
      <c r="Z25" s="116"/>
      <c r="AB25" s="30"/>
      <c r="AC25" s="30"/>
      <c r="AD25" s="110" t="s">
        <v>232</v>
      </c>
      <c r="AE25" s="110" t="s">
        <v>23</v>
      </c>
      <c r="AF25" s="110"/>
      <c r="AG25" s="110"/>
    </row>
    <row r="26" spans="1:38" ht="13"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1876</v>
      </c>
      <c r="L27" s="110"/>
      <c r="M27" s="110"/>
      <c r="N27" s="110"/>
      <c r="O27" s="110"/>
      <c r="P27" s="164">
        <v>1042</v>
      </c>
      <c r="Q27" s="31">
        <v>428</v>
      </c>
      <c r="S27" s="110" t="s">
        <v>1877</v>
      </c>
      <c r="T27" s="116">
        <v>19</v>
      </c>
      <c r="U27" s="116">
        <v>8</v>
      </c>
      <c r="V27" s="116">
        <v>24.7</v>
      </c>
      <c r="W27" s="116">
        <v>3.4</v>
      </c>
      <c r="X27" s="116" t="s">
        <v>24</v>
      </c>
      <c r="Y27" s="116"/>
      <c r="Z27" s="116"/>
      <c r="AB27" s="30"/>
      <c r="AC27" s="30"/>
      <c r="AD27" s="31" t="s">
        <v>1995</v>
      </c>
      <c r="AE27" s="110" t="s">
        <v>23</v>
      </c>
      <c r="AF27" s="110"/>
      <c r="AG27" s="110"/>
    </row>
    <row r="28" spans="1:38" ht="13" customHeight="1">
      <c r="B28" s="31" t="s">
        <v>925</v>
      </c>
      <c r="C28" s="110" t="s">
        <v>258</v>
      </c>
      <c r="D28" s="110" t="s">
        <v>259</v>
      </c>
      <c r="E28" s="110" t="s">
        <v>226</v>
      </c>
      <c r="F28" s="30"/>
      <c r="G28" s="116">
        <v>19</v>
      </c>
      <c r="H28" s="116">
        <v>11</v>
      </c>
      <c r="I28" s="109">
        <v>20.5</v>
      </c>
      <c r="J28" s="110" t="s">
        <v>24</v>
      </c>
      <c r="K28" s="110" t="s">
        <v>1879</v>
      </c>
      <c r="L28" s="110"/>
      <c r="M28" s="110"/>
      <c r="N28" s="30"/>
      <c r="O28" s="30"/>
      <c r="P28" s="164">
        <v>2069</v>
      </c>
      <c r="Q28" s="110" t="s">
        <v>24</v>
      </c>
      <c r="R28" s="110"/>
      <c r="S28" s="30" t="s">
        <v>1880</v>
      </c>
      <c r="T28" s="116">
        <v>20</v>
      </c>
      <c r="U28" s="116">
        <v>11</v>
      </c>
      <c r="V28" s="116">
        <v>20.7</v>
      </c>
      <c r="W28" s="116" t="s">
        <v>24</v>
      </c>
      <c r="X28" s="116" t="s">
        <v>1881</v>
      </c>
      <c r="Y28" s="116"/>
      <c r="Z28" s="116"/>
      <c r="AB28" s="30"/>
      <c r="AC28" s="30"/>
      <c r="AD28" s="31" t="s">
        <v>1995</v>
      </c>
      <c r="AE28" s="110" t="s">
        <v>23</v>
      </c>
      <c r="AF28" s="110"/>
      <c r="AG28" s="110"/>
    </row>
    <row r="29" spans="1:38" ht="13" customHeight="1">
      <c r="B29" s="646" t="s">
        <v>925</v>
      </c>
      <c r="C29" s="644" t="s">
        <v>260</v>
      </c>
      <c r="D29" s="110" t="s">
        <v>261</v>
      </c>
      <c r="E29" s="110" t="s">
        <v>1882</v>
      </c>
      <c r="F29" s="30"/>
      <c r="G29" s="116">
        <v>11</v>
      </c>
      <c r="H29" s="116">
        <v>4</v>
      </c>
      <c r="I29" s="109">
        <v>22.4</v>
      </c>
      <c r="J29" s="110">
        <v>5.5</v>
      </c>
      <c r="K29" s="110" t="s">
        <v>24</v>
      </c>
      <c r="L29" s="110"/>
      <c r="M29" s="110"/>
      <c r="N29" s="110"/>
      <c r="O29" s="110"/>
      <c r="P29" s="164">
        <v>566</v>
      </c>
      <c r="Q29" s="110">
        <v>217</v>
      </c>
      <c r="R29" s="110"/>
      <c r="S29" s="110" t="s">
        <v>1883</v>
      </c>
      <c r="T29" s="116">
        <v>22</v>
      </c>
      <c r="U29" s="116">
        <v>9</v>
      </c>
      <c r="V29" s="116">
        <v>24.1</v>
      </c>
      <c r="W29" s="116">
        <v>4.5</v>
      </c>
      <c r="X29" s="116" t="s">
        <v>1095</v>
      </c>
      <c r="Y29" s="116"/>
      <c r="Z29" s="116"/>
      <c r="AB29" s="30"/>
      <c r="AC29" s="30"/>
      <c r="AD29" s="110" t="s">
        <v>23</v>
      </c>
      <c r="AE29" s="110" t="s">
        <v>23</v>
      </c>
      <c r="AF29" s="110"/>
      <c r="AG29" s="110"/>
    </row>
    <row r="30" spans="1:38" ht="13" customHeight="1">
      <c r="B30" s="646"/>
      <c r="C30" s="644"/>
      <c r="D30" s="110" t="s">
        <v>262</v>
      </c>
      <c r="E30" s="110" t="s">
        <v>1882</v>
      </c>
      <c r="F30" s="30"/>
      <c r="G30" s="116">
        <v>11</v>
      </c>
      <c r="H30" s="116">
        <v>4</v>
      </c>
      <c r="I30" s="109">
        <v>25.4</v>
      </c>
      <c r="J30" s="110">
        <v>5.5</v>
      </c>
      <c r="K30" s="110" t="s">
        <v>24</v>
      </c>
      <c r="L30" s="110"/>
      <c r="M30" s="110"/>
      <c r="N30" s="110"/>
      <c r="O30" s="110"/>
      <c r="P30" s="164">
        <v>1545</v>
      </c>
      <c r="Q30" s="110">
        <v>182</v>
      </c>
      <c r="R30" s="110"/>
      <c r="S30" s="110" t="s">
        <v>1884</v>
      </c>
      <c r="T30" s="116"/>
      <c r="U30" s="116"/>
      <c r="V30" s="116"/>
      <c r="W30" s="116"/>
      <c r="X30" s="116"/>
      <c r="Y30" s="116"/>
      <c r="Z30" s="116"/>
      <c r="AB30" s="30"/>
      <c r="AC30" s="30"/>
      <c r="AD30" s="110" t="s">
        <v>23</v>
      </c>
      <c r="AE30" s="110" t="s">
        <v>23</v>
      </c>
      <c r="AF30" s="110"/>
      <c r="AG30" s="110"/>
    </row>
    <row r="31" spans="1:38" ht="13" customHeight="1">
      <c r="A31" s="31" t="s">
        <v>2013</v>
      </c>
      <c r="B31" s="31" t="s">
        <v>925</v>
      </c>
      <c r="C31" s="31" t="s">
        <v>2062</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31" t="s">
        <v>938</v>
      </c>
    </row>
    <row r="32" spans="1:38" ht="13" customHeight="1">
      <c r="B32" s="646" t="s">
        <v>925</v>
      </c>
      <c r="C32" s="644" t="s">
        <v>263</v>
      </c>
      <c r="D32" s="110" t="s">
        <v>264</v>
      </c>
      <c r="E32" s="110" t="s">
        <v>226</v>
      </c>
      <c r="F32" s="30"/>
      <c r="G32" s="116">
        <v>8</v>
      </c>
      <c r="H32" s="116">
        <v>0</v>
      </c>
      <c r="I32" s="109">
        <v>31</v>
      </c>
      <c r="J32" s="110">
        <v>6</v>
      </c>
      <c r="K32" s="644" t="s">
        <v>1990</v>
      </c>
      <c r="L32" s="110"/>
      <c r="M32" s="110"/>
      <c r="N32" s="30"/>
      <c r="O32" s="30"/>
      <c r="P32" s="164">
        <v>1210</v>
      </c>
      <c r="Q32" s="110">
        <v>320</v>
      </c>
      <c r="R32" s="110"/>
      <c r="S32" s="30" t="s">
        <v>24</v>
      </c>
      <c r="T32" s="116">
        <v>15</v>
      </c>
      <c r="U32" s="116">
        <v>0</v>
      </c>
      <c r="V32" s="116">
        <v>32.1</v>
      </c>
      <c r="W32" s="116">
        <v>6.4</v>
      </c>
      <c r="X32" s="116" t="s">
        <v>1885</v>
      </c>
      <c r="Y32" s="116"/>
      <c r="Z32" s="116"/>
      <c r="AB32" s="30"/>
      <c r="AC32" s="30"/>
      <c r="AD32" s="31" t="s">
        <v>1995</v>
      </c>
      <c r="AE32" s="110" t="s">
        <v>127</v>
      </c>
      <c r="AF32" s="110"/>
      <c r="AG32" s="110"/>
    </row>
    <row r="33" spans="2:35" ht="13" customHeight="1">
      <c r="B33" s="646"/>
      <c r="C33" s="644"/>
      <c r="D33" s="110" t="s">
        <v>265</v>
      </c>
      <c r="E33" s="110" t="s">
        <v>226</v>
      </c>
      <c r="F33" s="30"/>
      <c r="G33" s="116">
        <v>9</v>
      </c>
      <c r="H33" s="116">
        <v>0</v>
      </c>
      <c r="I33" s="109">
        <v>31</v>
      </c>
      <c r="J33" s="110">
        <v>4.7</v>
      </c>
      <c r="K33" s="644"/>
      <c r="L33" s="110"/>
      <c r="M33" s="110"/>
      <c r="N33" s="30"/>
      <c r="O33" s="30"/>
      <c r="P33" s="164">
        <v>1140</v>
      </c>
      <c r="Q33" s="110">
        <v>310</v>
      </c>
      <c r="R33" s="110"/>
      <c r="S33" s="30" t="s">
        <v>24</v>
      </c>
      <c r="T33" s="116"/>
      <c r="U33" s="116"/>
      <c r="V33" s="116"/>
      <c r="W33" s="116"/>
      <c r="X33" s="116"/>
      <c r="Y33" s="116"/>
      <c r="Z33" s="116"/>
      <c r="AB33" s="30"/>
      <c r="AC33" s="30"/>
      <c r="AD33" s="31" t="s">
        <v>1995</v>
      </c>
      <c r="AE33" s="110" t="s">
        <v>127</v>
      </c>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267</v>
      </c>
      <c r="AF34" s="110"/>
      <c r="AG34" s="110"/>
    </row>
    <row r="35" spans="2:35" ht="13" customHeight="1">
      <c r="B35" s="31" t="s">
        <v>925</v>
      </c>
      <c r="C35" s="110" t="s">
        <v>1886</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11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1887</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1888</v>
      </c>
      <c r="L37" s="110"/>
      <c r="M37" s="110"/>
      <c r="N37" s="110"/>
      <c r="O37" s="110"/>
      <c r="P37" s="164">
        <v>889.8</v>
      </c>
      <c r="Q37" s="110">
        <v>459</v>
      </c>
      <c r="R37" s="110"/>
      <c r="S37" s="110" t="s">
        <v>1889</v>
      </c>
      <c r="T37" s="116">
        <v>25</v>
      </c>
      <c r="U37" s="116">
        <v>15</v>
      </c>
      <c r="V37" s="116">
        <v>34</v>
      </c>
      <c r="W37" s="116">
        <f>(40-30)/4</f>
        <v>2.5</v>
      </c>
      <c r="X37" s="116" t="s">
        <v>1890</v>
      </c>
      <c r="Y37" s="116"/>
      <c r="Z37" s="116"/>
      <c r="AB37" s="30"/>
      <c r="AC37" s="30"/>
      <c r="AD37" s="110" t="s">
        <v>218</v>
      </c>
      <c r="AE37" s="30" t="s">
        <v>2687</v>
      </c>
      <c r="AF37" s="30"/>
      <c r="AG37" s="110"/>
    </row>
    <row r="38" spans="2:35" ht="13" customHeight="1">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B39" s="120"/>
      <c r="C39" s="109" t="s">
        <v>2695</v>
      </c>
      <c r="D39" s="110"/>
      <c r="E39" s="110"/>
      <c r="F39" s="30"/>
      <c r="G39" s="170">
        <f>AVERAGE(G6:G37)</f>
        <v>31.172413793103448</v>
      </c>
      <c r="H39" s="170">
        <f>AVERAGE(H6:H37)</f>
        <v>18.964285714285715</v>
      </c>
      <c r="I39" s="170">
        <f>AVERAGE(I6:I37)</f>
        <v>27.392068965517236</v>
      </c>
      <c r="J39" s="170">
        <f>AVERAGE(J6:J37)</f>
        <v>5.2956000000000003</v>
      </c>
      <c r="K39" s="170"/>
      <c r="L39" s="110"/>
      <c r="M39" s="110"/>
      <c r="N39" s="110"/>
      <c r="O39" s="110"/>
      <c r="P39" s="170">
        <f>AVERAGE(P6:P37)</f>
        <v>1010.0461538461539</v>
      </c>
      <c r="Q39" s="170">
        <f>AVERAGE(Q6:Q37)</f>
        <v>307.46818181818185</v>
      </c>
      <c r="R39" s="170"/>
      <c r="S39" s="110"/>
      <c r="T39" s="170">
        <f>AVERAGE(T6:T37)</f>
        <v>30.888888888888889</v>
      </c>
      <c r="U39" s="170">
        <f>AVERAGE(U6:U37)</f>
        <v>19.043478260869566</v>
      </c>
      <c r="V39" s="170">
        <f>AVERAGE(V6:V37)</f>
        <v>26.483200000000007</v>
      </c>
      <c r="W39" s="170">
        <f>AVERAGE(W6:W37)</f>
        <v>5.5900000000000016</v>
      </c>
      <c r="X39" s="116"/>
      <c r="Y39" s="116"/>
      <c r="Z39" s="116"/>
      <c r="AB39" s="30"/>
      <c r="AC39" s="30"/>
      <c r="AD39" s="110"/>
      <c r="AF39" s="30"/>
      <c r="AG39" s="110"/>
    </row>
    <row r="40" spans="2:35" ht="13" customHeight="1">
      <c r="C40" s="628" t="s">
        <v>10</v>
      </c>
      <c r="D40" s="110"/>
      <c r="E40" s="110"/>
      <c r="F40" s="30"/>
      <c r="G40" s="355">
        <f>STDEV(G6:G37)</f>
        <v>29.743029153924983</v>
      </c>
      <c r="H40" s="355">
        <f>STDEV(H6:H37)</f>
        <v>19.517289852195237</v>
      </c>
      <c r="I40" s="355">
        <f>STDEV(I6:I37)</f>
        <v>4.7618389149798768</v>
      </c>
      <c r="J40" s="355">
        <f>STDEV(J6:J37)</f>
        <v>2.283816396589998</v>
      </c>
      <c r="K40" s="355"/>
      <c r="L40" s="110"/>
      <c r="M40" s="110"/>
      <c r="N40" s="110"/>
      <c r="O40" s="110"/>
      <c r="P40" s="355">
        <f>STDEV(P6:P37)</f>
        <v>396.03022736227518</v>
      </c>
      <c r="Q40" s="355">
        <f>STDEV(Q6:Q37)</f>
        <v>143.58917384035553</v>
      </c>
      <c r="R40" s="355"/>
      <c r="S40" s="110"/>
      <c r="T40" s="355">
        <f>STDEV(T6:T37)</f>
        <v>19.02494988032079</v>
      </c>
      <c r="U40" s="355">
        <f>STDEV(U6:U37)</f>
        <v>15.256826373402244</v>
      </c>
      <c r="V40" s="355">
        <f>STDEV(V6:V37)</f>
        <v>4.4688428032321479</v>
      </c>
      <c r="W40" s="355">
        <f>STDEV(W6:W37)</f>
        <v>2.7367191267916704</v>
      </c>
      <c r="X40" s="116"/>
      <c r="Y40" s="116"/>
      <c r="Z40" s="116"/>
      <c r="AB40" s="30"/>
      <c r="AC40" s="30"/>
      <c r="AD40" s="110"/>
      <c r="AF40" s="30"/>
      <c r="AG40" s="110"/>
    </row>
    <row r="41" spans="2:35" ht="13" customHeight="1">
      <c r="B41" s="176"/>
      <c r="C41" s="172" t="s">
        <v>213</v>
      </c>
      <c r="D41" s="172"/>
      <c r="E41" s="172"/>
      <c r="F41" s="484"/>
      <c r="G41" s="173">
        <f>SUM(G6:G37)</f>
        <v>904</v>
      </c>
      <c r="H41" s="173">
        <f>SUM(H6:H37)</f>
        <v>531</v>
      </c>
      <c r="I41" s="112"/>
      <c r="J41" s="172"/>
      <c r="K41" s="172"/>
      <c r="L41" s="172"/>
      <c r="M41" s="172"/>
      <c r="N41" s="172"/>
      <c r="O41" s="172"/>
      <c r="P41" s="172"/>
      <c r="Q41" s="172"/>
      <c r="R41" s="172"/>
      <c r="S41" s="172"/>
      <c r="T41" s="173">
        <f>SUM(T6:T37)</f>
        <v>834</v>
      </c>
      <c r="U41" s="173">
        <f>SUM(U6:U37)</f>
        <v>438</v>
      </c>
      <c r="V41" s="173"/>
      <c r="W41" s="173"/>
      <c r="X41" s="173"/>
      <c r="Y41" s="173"/>
      <c r="Z41" s="173"/>
      <c r="AA41" s="176"/>
      <c r="AB41" s="484"/>
      <c r="AC41" s="484"/>
      <c r="AD41" s="172"/>
      <c r="AE41" s="484"/>
      <c r="AF41" s="30"/>
      <c r="AG41" s="110"/>
    </row>
    <row r="42" spans="2:35" ht="13" customHeight="1">
      <c r="C42" s="140"/>
      <c r="D42" s="197"/>
      <c r="E42" s="140"/>
      <c r="F42" s="140"/>
      <c r="G42" s="640" t="s">
        <v>0</v>
      </c>
      <c r="H42" s="640"/>
      <c r="I42" s="640"/>
      <c r="J42" s="640"/>
      <c r="K42" s="640"/>
      <c r="L42" s="640"/>
      <c r="M42" s="640"/>
      <c r="N42" s="640"/>
      <c r="O42" s="640"/>
      <c r="P42" s="640"/>
      <c r="Q42" s="640"/>
      <c r="R42" s="123"/>
      <c r="S42" s="140"/>
      <c r="T42" s="640" t="s">
        <v>1</v>
      </c>
      <c r="U42" s="640"/>
      <c r="V42" s="640"/>
      <c r="W42" s="640"/>
      <c r="X42" s="123"/>
      <c r="Y42" s="123"/>
      <c r="Z42" s="123"/>
      <c r="AA42" s="140"/>
      <c r="AB42" s="140"/>
      <c r="AC42" s="140"/>
      <c r="AD42" s="140"/>
      <c r="AE42" s="197"/>
      <c r="AF42" s="140"/>
      <c r="AG42" s="140"/>
      <c r="AI42" s="120"/>
    </row>
    <row r="43" spans="2:35" ht="13" customHeight="1">
      <c r="C43" s="654" t="s">
        <v>2689</v>
      </c>
      <c r="D43" s="654"/>
      <c r="E43" s="654"/>
      <c r="F43" s="30"/>
      <c r="G43" s="110"/>
      <c r="H43" s="110"/>
      <c r="I43" s="641" t="s">
        <v>208</v>
      </c>
      <c r="J43" s="641"/>
      <c r="K43" s="641"/>
      <c r="L43" s="109"/>
      <c r="M43" s="641" t="s">
        <v>188</v>
      </c>
      <c r="N43" s="641"/>
      <c r="O43" s="641"/>
      <c r="P43" s="642" t="s">
        <v>1137</v>
      </c>
      <c r="Q43" s="642"/>
      <c r="R43" s="109"/>
      <c r="S43" s="30"/>
      <c r="T43" s="30"/>
      <c r="U43" s="30"/>
      <c r="V43" s="638" t="s">
        <v>208</v>
      </c>
      <c r="W43" s="638"/>
      <c r="X43" s="638"/>
      <c r="Z43" s="638" t="s">
        <v>188</v>
      </c>
      <c r="AA43" s="638"/>
      <c r="AB43" s="30"/>
      <c r="AC43" s="30"/>
      <c r="AD43" s="639" t="s">
        <v>209</v>
      </c>
      <c r="AE43" s="639"/>
      <c r="AF43" s="111"/>
      <c r="AG43" s="639"/>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638"/>
      <c r="AE44" s="638"/>
      <c r="AF44" s="111"/>
      <c r="AG44" s="638"/>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644" t="s">
        <v>2684</v>
      </c>
      <c r="E46" s="644" t="s">
        <v>245</v>
      </c>
      <c r="F46" s="116" t="s">
        <v>1892</v>
      </c>
      <c r="G46" s="646">
        <v>36</v>
      </c>
      <c r="H46" s="649">
        <v>13</v>
      </c>
      <c r="I46" s="639">
        <v>11.18</v>
      </c>
      <c r="J46" s="644">
        <v>3.4</v>
      </c>
      <c r="K46" s="644" t="s">
        <v>24</v>
      </c>
      <c r="L46" s="110"/>
      <c r="M46" s="110"/>
      <c r="N46" s="110"/>
      <c r="O46" s="110"/>
      <c r="P46" s="644" t="s">
        <v>1143</v>
      </c>
      <c r="Q46" s="644"/>
      <c r="R46" s="110"/>
      <c r="S46" s="110"/>
      <c r="T46" s="649">
        <v>36</v>
      </c>
      <c r="U46" s="649">
        <v>14</v>
      </c>
      <c r="V46" s="652">
        <v>10.29</v>
      </c>
      <c r="W46" s="653">
        <v>3.1</v>
      </c>
      <c r="X46" s="116" t="s">
        <v>24</v>
      </c>
      <c r="Y46" s="116"/>
      <c r="Z46" s="121">
        <v>103.91</v>
      </c>
      <c r="AA46" s="31">
        <v>12.6</v>
      </c>
      <c r="AB46" s="30" t="s">
        <v>24</v>
      </c>
      <c r="AC46" s="30"/>
      <c r="AD46" s="649" t="s">
        <v>2691</v>
      </c>
      <c r="AE46" s="646" t="s">
        <v>938</v>
      </c>
      <c r="AF46" s="30"/>
      <c r="AG46" s="110"/>
    </row>
    <row r="47" spans="2:35" ht="13" customHeight="1">
      <c r="B47" s="31" t="s">
        <v>1144</v>
      </c>
      <c r="C47" s="110" t="s">
        <v>2460</v>
      </c>
      <c r="D47" s="644"/>
      <c r="E47" s="644"/>
      <c r="F47" s="116" t="s">
        <v>1892</v>
      </c>
      <c r="G47" s="646"/>
      <c r="H47" s="649"/>
      <c r="I47" s="639"/>
      <c r="J47" s="644"/>
      <c r="K47" s="644"/>
      <c r="L47" s="110"/>
      <c r="M47" s="110">
        <v>90.97</v>
      </c>
      <c r="N47" s="110">
        <v>8.6</v>
      </c>
      <c r="O47" s="110" t="s">
        <v>24</v>
      </c>
      <c r="P47" s="644"/>
      <c r="Q47" s="644"/>
      <c r="R47" s="110"/>
      <c r="S47" s="110"/>
      <c r="T47" s="649"/>
      <c r="U47" s="649"/>
      <c r="V47" s="652"/>
      <c r="W47" s="653"/>
      <c r="X47" s="116" t="s">
        <v>24</v>
      </c>
      <c r="Y47" s="116"/>
      <c r="Z47" s="121">
        <v>103.91</v>
      </c>
      <c r="AA47" s="31">
        <v>12.6</v>
      </c>
      <c r="AB47" s="30" t="s">
        <v>24</v>
      </c>
      <c r="AC47" s="30"/>
      <c r="AD47" s="649"/>
      <c r="AE47" s="646"/>
      <c r="AF47" s="30"/>
      <c r="AG47" s="110"/>
    </row>
    <row r="48" spans="2:35" ht="13" customHeight="1">
      <c r="B48" s="31" t="s">
        <v>1144</v>
      </c>
      <c r="C48" s="110" t="s">
        <v>1895</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1195</v>
      </c>
      <c r="AF48" s="30"/>
      <c r="AG48" s="110"/>
    </row>
    <row r="49" spans="1:34"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1995</v>
      </c>
      <c r="AE49" s="30" t="s">
        <v>1195</v>
      </c>
      <c r="AF49" s="30"/>
      <c r="AG49" s="110"/>
    </row>
    <row r="50" spans="1:34" ht="13" customHeight="1">
      <c r="A50" s="31" t="s">
        <v>2013</v>
      </c>
      <c r="B50" s="31" t="s">
        <v>1144</v>
      </c>
      <c r="C50" s="31" t="s">
        <v>2076</v>
      </c>
      <c r="E50" s="31" t="s">
        <v>253</v>
      </c>
      <c r="G50" s="31">
        <v>9</v>
      </c>
      <c r="H50" s="31">
        <v>5</v>
      </c>
      <c r="I50" s="120">
        <v>10.58</v>
      </c>
      <c r="J50" s="31">
        <v>2.76</v>
      </c>
      <c r="K50" s="31" t="s">
        <v>2063</v>
      </c>
      <c r="M50" s="31" t="s">
        <v>938</v>
      </c>
      <c r="N50" s="31" t="s">
        <v>24</v>
      </c>
      <c r="O50" s="31" t="s">
        <v>24</v>
      </c>
      <c r="P50" s="145">
        <f>9.67*88.4</f>
        <v>854.82800000000009</v>
      </c>
      <c r="Q50" s="631">
        <f>3*88.4</f>
        <v>265.20000000000005</v>
      </c>
      <c r="R50" s="631"/>
      <c r="S50" s="31" t="s">
        <v>2064</v>
      </c>
      <c r="T50" s="31">
        <v>12</v>
      </c>
      <c r="U50" s="31">
        <v>8</v>
      </c>
      <c r="V50" s="31">
        <v>10.7</v>
      </c>
      <c r="W50" s="31">
        <v>2.2000000000000002</v>
      </c>
      <c r="X50" s="180" t="s">
        <v>2065</v>
      </c>
      <c r="Z50" s="31" t="s">
        <v>938</v>
      </c>
      <c r="AA50" s="31" t="s">
        <v>24</v>
      </c>
      <c r="AD50" s="31" t="s">
        <v>924</v>
      </c>
    </row>
    <row r="51" spans="1:34" ht="13" customHeight="1">
      <c r="B51" s="31" t="s">
        <v>1144</v>
      </c>
      <c r="C51" s="110" t="s">
        <v>1258</v>
      </c>
      <c r="D51" s="110"/>
      <c r="E51" s="110" t="s">
        <v>1175</v>
      </c>
      <c r="F51" s="30"/>
      <c r="G51" s="116">
        <v>11</v>
      </c>
      <c r="H51" s="116">
        <v>5</v>
      </c>
      <c r="I51" s="230">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1896</v>
      </c>
      <c r="AE51" s="30" t="s">
        <v>1195</v>
      </c>
      <c r="AF51" s="30"/>
      <c r="AG51" s="110"/>
    </row>
    <row r="52" spans="1:34" ht="13" customHeight="1">
      <c r="B52" s="31" t="s">
        <v>1144</v>
      </c>
      <c r="C52" s="110" t="s">
        <v>2395</v>
      </c>
      <c r="D52" s="30" t="s">
        <v>2420</v>
      </c>
      <c r="E52" s="110" t="s">
        <v>1326</v>
      </c>
      <c r="G52" s="31">
        <v>10</v>
      </c>
      <c r="H52" s="31">
        <v>3</v>
      </c>
      <c r="I52" s="120">
        <v>7.53</v>
      </c>
      <c r="J52" s="137">
        <f>(9.75-5.58)/4</f>
        <v>1.0425</v>
      </c>
      <c r="K52" s="180" t="s">
        <v>2072</v>
      </c>
      <c r="M52" s="31" t="s">
        <v>938</v>
      </c>
      <c r="N52" s="31" t="s">
        <v>24</v>
      </c>
      <c r="O52" s="31" t="s">
        <v>24</v>
      </c>
      <c r="P52" s="145">
        <v>348</v>
      </c>
      <c r="Q52" s="31">
        <v>167</v>
      </c>
      <c r="S52" s="31" t="s">
        <v>24</v>
      </c>
      <c r="T52" s="31">
        <v>10</v>
      </c>
      <c r="U52" s="31" t="s">
        <v>24</v>
      </c>
      <c r="V52" s="31">
        <v>7.59</v>
      </c>
      <c r="W52" s="31" t="s">
        <v>24</v>
      </c>
      <c r="X52" s="31" t="s">
        <v>2074</v>
      </c>
      <c r="Z52" s="31" t="s">
        <v>938</v>
      </c>
      <c r="AA52" s="31" t="s">
        <v>24</v>
      </c>
      <c r="AD52" s="135" t="s">
        <v>2702</v>
      </c>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1195</v>
      </c>
      <c r="AF53" s="30"/>
      <c r="AG53" s="110"/>
    </row>
    <row r="54" spans="1:34" ht="13" customHeight="1">
      <c r="B54" s="31" t="s">
        <v>1144</v>
      </c>
      <c r="C54" s="110" t="s">
        <v>1254</v>
      </c>
      <c r="D54" s="110" t="s">
        <v>1897</v>
      </c>
      <c r="E54" s="110" t="s">
        <v>242</v>
      </c>
      <c r="F54" s="30"/>
      <c r="G54" s="116">
        <v>30</v>
      </c>
      <c r="H54" s="116">
        <v>17</v>
      </c>
      <c r="I54" s="109">
        <v>12.7</v>
      </c>
      <c r="J54" s="31">
        <v>1.1000000000000001</v>
      </c>
      <c r="K54" s="354" t="s">
        <v>1255</v>
      </c>
      <c r="L54" s="110"/>
      <c r="M54" s="31" t="s">
        <v>1898</v>
      </c>
      <c r="N54" s="31" t="s">
        <v>24</v>
      </c>
      <c r="O54" s="110" t="s">
        <v>24</v>
      </c>
      <c r="P54" s="164">
        <v>494</v>
      </c>
      <c r="Q54" s="110">
        <v>291</v>
      </c>
      <c r="R54" s="110"/>
      <c r="S54" s="110" t="s">
        <v>24</v>
      </c>
      <c r="T54" s="116">
        <v>34</v>
      </c>
      <c r="U54" s="116">
        <v>12</v>
      </c>
      <c r="V54" s="116">
        <v>13</v>
      </c>
      <c r="W54" s="139">
        <v>1.2</v>
      </c>
      <c r="X54" s="354" t="s">
        <v>1255</v>
      </c>
      <c r="Y54" s="116"/>
      <c r="Z54" s="116" t="s">
        <v>1143</v>
      </c>
      <c r="AA54" s="31" t="s">
        <v>24</v>
      </c>
      <c r="AB54" s="30" t="s">
        <v>24</v>
      </c>
      <c r="AC54" s="30"/>
      <c r="AD54" s="110" t="s">
        <v>218</v>
      </c>
      <c r="AE54" s="30" t="s">
        <v>1195</v>
      </c>
      <c r="AF54" s="30"/>
      <c r="AG54" s="110"/>
    </row>
    <row r="55" spans="1:34" ht="17.25" customHeight="1">
      <c r="B55" s="31" t="s">
        <v>1144</v>
      </c>
      <c r="C55" s="110" t="s">
        <v>1303</v>
      </c>
      <c r="D55" s="110" t="s">
        <v>2693</v>
      </c>
      <c r="E55" s="110" t="s">
        <v>242</v>
      </c>
      <c r="F55" s="30"/>
      <c r="G55" s="116">
        <v>21</v>
      </c>
      <c r="H55" s="116" t="s">
        <v>24</v>
      </c>
      <c r="I55" s="120">
        <v>10.6</v>
      </c>
      <c r="J55" s="110">
        <v>2.5</v>
      </c>
      <c r="K55" s="133" t="s">
        <v>24</v>
      </c>
      <c r="L55" s="110"/>
      <c r="M55" s="110" t="s">
        <v>1898</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30"/>
      <c r="AH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1901</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1195</v>
      </c>
      <c r="AF56" s="30"/>
      <c r="AG56" s="110"/>
    </row>
    <row r="57" spans="1:34" ht="13" customHeight="1">
      <c r="B57" s="31" t="s">
        <v>1144</v>
      </c>
      <c r="C57" s="110" t="s">
        <v>1204</v>
      </c>
      <c r="D57" s="110"/>
      <c r="E57" s="110" t="s">
        <v>1902</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44" t="s">
        <v>2703</v>
      </c>
      <c r="AE57" s="30" t="s">
        <v>1195</v>
      </c>
      <c r="AF57" s="30"/>
      <c r="AG57" s="110"/>
    </row>
    <row r="58" spans="1:34" ht="13" customHeight="1">
      <c r="B58" s="31" t="s">
        <v>1144</v>
      </c>
      <c r="C58" s="110" t="s">
        <v>1300</v>
      </c>
      <c r="D58" s="110"/>
      <c r="E58" s="110" t="s">
        <v>1903</v>
      </c>
      <c r="F58" s="30"/>
      <c r="G58" s="116">
        <v>19</v>
      </c>
      <c r="H58" s="116">
        <v>10</v>
      </c>
      <c r="I58" s="109">
        <v>9.4</v>
      </c>
      <c r="J58" s="110">
        <v>2.9</v>
      </c>
      <c r="K58" s="133" t="s">
        <v>508</v>
      </c>
      <c r="L58" s="110"/>
      <c r="M58" s="110">
        <v>101</v>
      </c>
      <c r="N58" s="110">
        <v>10.4</v>
      </c>
      <c r="O58" s="110" t="s">
        <v>1904</v>
      </c>
      <c r="P58" s="164">
        <v>777.2</v>
      </c>
      <c r="Q58" s="137">
        <v>199.9</v>
      </c>
      <c r="R58" s="137"/>
      <c r="S58" s="137" t="s">
        <v>1299</v>
      </c>
      <c r="T58" s="116">
        <v>19</v>
      </c>
      <c r="U58" s="116">
        <v>10</v>
      </c>
      <c r="V58" s="139">
        <v>9.3000000000000007</v>
      </c>
      <c r="W58" s="139">
        <v>2.9</v>
      </c>
      <c r="X58" s="138" t="s">
        <v>1298</v>
      </c>
      <c r="Y58" s="116"/>
      <c r="Z58" s="116">
        <v>101</v>
      </c>
      <c r="AA58" s="31">
        <v>12</v>
      </c>
      <c r="AB58" s="30" t="s">
        <v>1905</v>
      </c>
      <c r="AD58" s="30" t="s">
        <v>1143</v>
      </c>
      <c r="AE58" s="110" t="s">
        <v>24</v>
      </c>
      <c r="AF58" s="30"/>
      <c r="AG58" s="30"/>
      <c r="AH58" s="110"/>
    </row>
    <row r="59" spans="1:34" ht="12.75"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30" t="s">
        <v>2704</v>
      </c>
      <c r="AE59" s="110" t="s">
        <v>1195</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1195</v>
      </c>
      <c r="AF60" s="30"/>
      <c r="AG60" s="30"/>
      <c r="AH60" s="110"/>
    </row>
    <row r="61" spans="1:34" ht="13" customHeight="1">
      <c r="B61" s="31" t="s">
        <v>1144</v>
      </c>
      <c r="C61" s="110" t="s">
        <v>417</v>
      </c>
      <c r="D61" s="644" t="s">
        <v>2684</v>
      </c>
      <c r="E61" s="648" t="s">
        <v>226</v>
      </c>
      <c r="F61" s="30"/>
      <c r="G61" s="649">
        <v>20</v>
      </c>
      <c r="H61" s="649">
        <v>10</v>
      </c>
      <c r="I61" s="639">
        <v>10.1</v>
      </c>
      <c r="J61" s="644">
        <v>1.3</v>
      </c>
      <c r="K61" s="644" t="s">
        <v>486</v>
      </c>
      <c r="L61" s="110"/>
      <c r="M61" s="110">
        <v>101.4</v>
      </c>
      <c r="N61" s="110">
        <v>10</v>
      </c>
      <c r="O61" s="110" t="s">
        <v>460</v>
      </c>
      <c r="P61" s="650">
        <v>583</v>
      </c>
      <c r="Q61" s="644">
        <v>377</v>
      </c>
      <c r="S61" s="110" t="s">
        <v>462</v>
      </c>
      <c r="T61" s="649">
        <v>20</v>
      </c>
      <c r="U61" s="649">
        <v>10</v>
      </c>
      <c r="V61" s="649">
        <v>11</v>
      </c>
      <c r="W61" s="651">
        <v>1.1000000000000001</v>
      </c>
      <c r="X61" s="649" t="s">
        <v>487</v>
      </c>
      <c r="Y61" s="116"/>
      <c r="Z61" s="28">
        <v>104.7</v>
      </c>
      <c r="AA61" s="28">
        <v>9.5</v>
      </c>
      <c r="AB61" s="30" t="s">
        <v>461</v>
      </c>
      <c r="AC61" s="30"/>
      <c r="AD61" s="644" t="s">
        <v>218</v>
      </c>
      <c r="AE61" s="647" t="s">
        <v>1163</v>
      </c>
      <c r="AF61" s="30"/>
      <c r="AG61" s="644"/>
      <c r="AH61" s="110"/>
    </row>
    <row r="62" spans="1:34" ht="13" customHeight="1">
      <c r="B62" s="31" t="s">
        <v>1144</v>
      </c>
      <c r="C62" s="110" t="s">
        <v>470</v>
      </c>
      <c r="D62" s="644"/>
      <c r="E62" s="648"/>
      <c r="F62" s="30"/>
      <c r="G62" s="649"/>
      <c r="H62" s="649"/>
      <c r="I62" s="639"/>
      <c r="J62" s="644"/>
      <c r="K62" s="644"/>
      <c r="L62" s="110"/>
      <c r="M62" s="110">
        <v>101.4</v>
      </c>
      <c r="N62" s="110">
        <v>10</v>
      </c>
      <c r="O62" s="110" t="s">
        <v>460</v>
      </c>
      <c r="P62" s="650"/>
      <c r="Q62" s="644"/>
      <c r="S62" s="110" t="s">
        <v>462</v>
      </c>
      <c r="T62" s="649"/>
      <c r="U62" s="649"/>
      <c r="V62" s="649"/>
      <c r="W62" s="651"/>
      <c r="X62" s="649"/>
      <c r="Y62" s="116"/>
      <c r="Z62" s="28">
        <v>104.7</v>
      </c>
      <c r="AA62" s="28">
        <v>9.5</v>
      </c>
      <c r="AB62" s="30" t="s">
        <v>461</v>
      </c>
      <c r="AC62" s="30"/>
      <c r="AD62" s="644"/>
      <c r="AE62" s="647"/>
      <c r="AF62" s="30"/>
      <c r="AG62" s="644"/>
      <c r="AH62" s="110"/>
    </row>
    <row r="63" spans="1:34" ht="28.5" customHeight="1">
      <c r="B63" s="31" t="s">
        <v>1144</v>
      </c>
      <c r="C63" s="110" t="s">
        <v>1305</v>
      </c>
      <c r="D63" s="110" t="s">
        <v>2694</v>
      </c>
      <c r="E63" s="637" t="s">
        <v>226</v>
      </c>
      <c r="F63" s="30"/>
      <c r="G63" s="116">
        <v>20</v>
      </c>
      <c r="H63" s="116">
        <v>10</v>
      </c>
      <c r="I63" s="109">
        <v>13.9</v>
      </c>
      <c r="J63" s="110">
        <v>1.3</v>
      </c>
      <c r="K63" s="133" t="s">
        <v>1309</v>
      </c>
      <c r="L63" s="110"/>
      <c r="M63" s="116">
        <v>107.4</v>
      </c>
      <c r="N63" s="31">
        <v>10.199999999999999</v>
      </c>
      <c r="O63" s="30" t="s">
        <v>1909</v>
      </c>
      <c r="P63" s="164">
        <v>744</v>
      </c>
      <c r="Q63" s="137">
        <v>456</v>
      </c>
      <c r="R63" s="137"/>
      <c r="S63" s="110" t="s">
        <v>1307</v>
      </c>
      <c r="T63" s="116">
        <v>20</v>
      </c>
      <c r="U63" s="116">
        <v>10</v>
      </c>
      <c r="V63" s="139">
        <v>14</v>
      </c>
      <c r="W63" s="139">
        <v>1.1000000000000001</v>
      </c>
      <c r="X63" s="138" t="s">
        <v>1308</v>
      </c>
      <c r="Y63" s="116"/>
      <c r="Z63" s="31">
        <v>108.2</v>
      </c>
      <c r="AA63" s="31">
        <v>8.5</v>
      </c>
      <c r="AB63" s="31" t="s">
        <v>1910</v>
      </c>
      <c r="AD63" s="30" t="s">
        <v>1911</v>
      </c>
      <c r="AE63" s="110" t="s">
        <v>24</v>
      </c>
      <c r="AF63" s="30"/>
      <c r="AG63" s="30"/>
      <c r="AH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2692</v>
      </c>
      <c r="AE64" s="30" t="s">
        <v>1195</v>
      </c>
      <c r="AF64" s="30"/>
      <c r="AG64" s="110"/>
    </row>
    <row r="65" spans="1:33" ht="13" customHeight="1">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1995</v>
      </c>
      <c r="AE65" s="30" t="s">
        <v>924</v>
      </c>
      <c r="AF65" s="30"/>
      <c r="AG65" s="110"/>
    </row>
    <row r="66" spans="1:33" ht="13" customHeight="1">
      <c r="A66" s="31" t="s">
        <v>2013</v>
      </c>
      <c r="B66" s="31" t="s">
        <v>1144</v>
      </c>
      <c r="C66" s="110" t="s">
        <v>2407</v>
      </c>
      <c r="D66" s="110"/>
      <c r="E66" s="110" t="s">
        <v>2441</v>
      </c>
      <c r="F66" s="30"/>
      <c r="G66" s="116">
        <v>9</v>
      </c>
      <c r="H66" s="116">
        <v>4</v>
      </c>
      <c r="I66" s="120">
        <v>9.1999999999999993</v>
      </c>
      <c r="J66" s="31">
        <v>2</v>
      </c>
      <c r="K66" s="632" t="s">
        <v>2440</v>
      </c>
      <c r="L66" s="37"/>
      <c r="N66" s="31">
        <v>8.1</v>
      </c>
      <c r="O66" s="31" t="s">
        <v>24</v>
      </c>
      <c r="P66" s="145">
        <v>297</v>
      </c>
      <c r="Q66" s="31">
        <v>165</v>
      </c>
      <c r="S66" s="31" t="s">
        <v>24</v>
      </c>
      <c r="T66" s="116">
        <v>9</v>
      </c>
      <c r="U66" s="116">
        <v>5</v>
      </c>
      <c r="V66" s="31">
        <v>9.1999999999999993</v>
      </c>
      <c r="W66" s="28">
        <v>1.9</v>
      </c>
      <c r="X66" s="632" t="s">
        <v>2440</v>
      </c>
      <c r="Y66" s="37"/>
      <c r="Z66" s="31">
        <v>103</v>
      </c>
      <c r="AA66" s="31">
        <v>7.9</v>
      </c>
      <c r="AB66" s="37" t="s">
        <v>24</v>
      </c>
      <c r="AC66" s="37"/>
      <c r="AD66" s="110" t="s">
        <v>1196</v>
      </c>
      <c r="AE66" s="30" t="s">
        <v>1195</v>
      </c>
      <c r="AF66" s="30"/>
      <c r="AG66" s="110"/>
    </row>
    <row r="67" spans="1:33" ht="13" customHeight="1">
      <c r="B67" s="31" t="s">
        <v>1144</v>
      </c>
      <c r="C67" s="110" t="s">
        <v>1340</v>
      </c>
      <c r="D67" s="110"/>
      <c r="E67" s="110" t="s">
        <v>1324</v>
      </c>
      <c r="F67" s="30"/>
      <c r="G67" s="116">
        <v>26</v>
      </c>
      <c r="H67" s="116">
        <v>12</v>
      </c>
      <c r="I67" s="109">
        <v>12.3</v>
      </c>
      <c r="J67" s="110">
        <v>3.7</v>
      </c>
      <c r="K67" s="110" t="s">
        <v>1512</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1195</v>
      </c>
      <c r="AF67" s="30"/>
      <c r="AG67" s="110"/>
    </row>
    <row r="68" spans="1:33" ht="13" customHeight="1">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B69" s="120"/>
      <c r="C69" s="109" t="s">
        <v>2696</v>
      </c>
      <c r="D69" s="110"/>
      <c r="E69" s="110"/>
      <c r="F69" s="30"/>
      <c r="G69" s="156">
        <f>AVERAGE(G46:G67)</f>
        <v>23</v>
      </c>
      <c r="H69" s="156">
        <f t="shared" ref="H69:J69" si="0">AVERAGE(H46:H67)</f>
        <v>11.631578947368421</v>
      </c>
      <c r="I69" s="156">
        <f t="shared" si="0"/>
        <v>11.0185</v>
      </c>
      <c r="J69" s="156">
        <f t="shared" si="0"/>
        <v>2.4319166666666669</v>
      </c>
      <c r="K69" s="170"/>
      <c r="L69" s="170"/>
      <c r="M69" s="170">
        <f>AVERAGE(M63:M67,M48:M61,M46)</f>
        <v>98.000714285714295</v>
      </c>
      <c r="N69" s="170">
        <f>AVERAGE(N63:N67,N48:N61,N46)</f>
        <v>11.129285714285714</v>
      </c>
      <c r="O69" s="170"/>
      <c r="P69" s="156">
        <f t="shared" ref="P69:Q69" si="1">AVERAGE(P46:P67)</f>
        <v>526.75045263157892</v>
      </c>
      <c r="Q69" s="156">
        <f t="shared" si="1"/>
        <v>242.14667157894738</v>
      </c>
      <c r="R69" s="170"/>
      <c r="S69" s="170">
        <f>AVERAGE(J46:J67)</f>
        <v>2.4319166666666669</v>
      </c>
      <c r="T69" s="156">
        <f t="shared" ref="T69:W69" si="2">AVERAGE(T46:T67)</f>
        <v>27.25</v>
      </c>
      <c r="U69" s="156">
        <f t="shared" si="2"/>
        <v>13.631578947368421</v>
      </c>
      <c r="V69" s="156">
        <f t="shared" si="2"/>
        <v>11.060333333333332</v>
      </c>
      <c r="W69" s="156">
        <f t="shared" si="2"/>
        <v>2.3278070175438597</v>
      </c>
      <c r="X69" s="37"/>
      <c r="Y69" s="37"/>
      <c r="Z69" s="170">
        <f>AVERAGE(Z46:Z67)</f>
        <v>102.13875</v>
      </c>
      <c r="AA69" s="170">
        <f>AVERAGE(AA46:AA67)</f>
        <v>10.8375</v>
      </c>
      <c r="AB69" s="30"/>
      <c r="AC69" s="30"/>
      <c r="AD69" s="110"/>
      <c r="AF69" s="30"/>
      <c r="AG69" s="110"/>
    </row>
    <row r="70" spans="1:33" ht="13" customHeight="1">
      <c r="C70" s="628" t="s">
        <v>10</v>
      </c>
      <c r="D70" s="110"/>
      <c r="E70" s="110"/>
      <c r="F70" s="30"/>
      <c r="G70" s="161">
        <f>STDEV(G46:G67)</f>
        <v>11.461606390582062</v>
      </c>
      <c r="H70" s="161">
        <f t="shared" ref="H70:J70" si="3">STDEV(H46:H67)</f>
        <v>6.3351797862394239</v>
      </c>
      <c r="I70" s="161">
        <f t="shared" si="3"/>
        <v>1.6026992855804312</v>
      </c>
      <c r="J70" s="161">
        <f t="shared" si="3"/>
        <v>0.9298552086558034</v>
      </c>
      <c r="K70" s="355"/>
      <c r="L70" s="355"/>
      <c r="M70" s="355">
        <f>STDEV(M63:M67,M48:M61,M46)</f>
        <v>19.422083570507436</v>
      </c>
      <c r="N70" s="355">
        <f>STDEV(N63:N67,N48:N61,N46)</f>
        <v>2.6313215874733542</v>
      </c>
      <c r="O70" s="355"/>
      <c r="P70" s="161">
        <f t="shared" ref="P70:Q70" si="4">STDEV(P46:P67)</f>
        <v>158.91124085264843</v>
      </c>
      <c r="Q70" s="161">
        <f t="shared" si="4"/>
        <v>103.8162773721335</v>
      </c>
      <c r="R70" s="355"/>
      <c r="S70" s="355">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5">
        <f>STDEV(Z46:Z67)</f>
        <v>18.830769456751693</v>
      </c>
      <c r="AA70" s="355">
        <f>STDEV(AA46:AA67)</f>
        <v>3.6029386154452681</v>
      </c>
      <c r="AB70" s="30"/>
      <c r="AC70" s="30"/>
      <c r="AD70" s="110"/>
      <c r="AF70" s="30"/>
      <c r="AG70" s="110"/>
    </row>
    <row r="71" spans="1:33" ht="13" customHeight="1">
      <c r="C71" s="110" t="s">
        <v>213</v>
      </c>
      <c r="D71" s="110"/>
      <c r="E71" s="110"/>
      <c r="F71" s="30"/>
      <c r="G71" s="241">
        <f>SUM(G46:G67)</f>
        <v>460</v>
      </c>
      <c r="H71" s="241">
        <f>SUM(H46:H67)</f>
        <v>221</v>
      </c>
      <c r="I71" s="174"/>
      <c r="J71" s="355"/>
      <c r="K71" s="355"/>
      <c r="L71" s="37"/>
      <c r="M71" s="355"/>
      <c r="N71" s="355"/>
      <c r="O71" s="355"/>
      <c r="P71" s="241"/>
      <c r="Q71" s="241"/>
      <c r="R71" s="355"/>
      <c r="S71" s="37"/>
      <c r="T71" s="241">
        <f>SUM(T46:T67)</f>
        <v>545</v>
      </c>
      <c r="U71" s="241">
        <f>SUM(U46:U67)</f>
        <v>259</v>
      </c>
      <c r="V71" s="355"/>
      <c r="W71" s="355"/>
      <c r="X71" s="37"/>
      <c r="Y71" s="37"/>
      <c r="Z71" s="355"/>
      <c r="AA71" s="355"/>
      <c r="AB71" s="30"/>
      <c r="AC71" s="30"/>
      <c r="AD71" s="110"/>
      <c r="AF71" s="30"/>
      <c r="AG71" s="110"/>
    </row>
    <row r="72" spans="1:33" ht="13" customHeight="1">
      <c r="C72" s="654" t="s">
        <v>2690</v>
      </c>
      <c r="D72" s="654"/>
      <c r="E72" s="654"/>
      <c r="F72" s="30"/>
      <c r="G72" s="357"/>
      <c r="H72" s="357"/>
      <c r="I72" s="174"/>
      <c r="J72" s="355"/>
      <c r="K72" s="355"/>
      <c r="L72" s="37"/>
      <c r="M72" s="355"/>
      <c r="N72" s="355"/>
      <c r="O72" s="355"/>
      <c r="P72" s="357"/>
      <c r="Q72" s="355"/>
      <c r="R72" s="355"/>
      <c r="S72" s="37"/>
      <c r="T72" s="357"/>
      <c r="U72" s="357"/>
      <c r="V72" s="355"/>
      <c r="W72" s="355"/>
      <c r="X72" s="37"/>
      <c r="Y72" s="37"/>
      <c r="Z72" s="355"/>
      <c r="AA72" s="355"/>
      <c r="AB72" s="30"/>
      <c r="AC72" s="30"/>
      <c r="AD72" s="110"/>
      <c r="AF72" s="30"/>
      <c r="AG72" s="110"/>
    </row>
    <row r="73" spans="1:33" ht="13" customHeight="1">
      <c r="A73" s="31" t="s">
        <v>2013</v>
      </c>
      <c r="B73" s="31" t="s">
        <v>1511</v>
      </c>
      <c r="C73" s="31" t="s">
        <v>2182</v>
      </c>
      <c r="D73" s="31"/>
      <c r="E73" s="31" t="s">
        <v>253</v>
      </c>
      <c r="G73" s="31">
        <v>20</v>
      </c>
      <c r="H73" s="31">
        <v>9</v>
      </c>
      <c r="I73" s="120">
        <v>16</v>
      </c>
      <c r="J73" s="28">
        <v>3.8</v>
      </c>
      <c r="K73" s="180" t="s">
        <v>2381</v>
      </c>
      <c r="M73" s="31">
        <v>106.3</v>
      </c>
      <c r="N73" s="31">
        <v>11.8</v>
      </c>
      <c r="O73" s="31" t="s">
        <v>2382</v>
      </c>
      <c r="P73" s="145">
        <v>593.29999999999995</v>
      </c>
      <c r="Q73" s="31">
        <v>356</v>
      </c>
      <c r="T73" s="31">
        <v>20</v>
      </c>
      <c r="U73" s="31">
        <v>10</v>
      </c>
      <c r="V73" s="31">
        <v>16.2</v>
      </c>
      <c r="W73" s="31">
        <v>3.8</v>
      </c>
      <c r="X73" s="31" t="s">
        <v>2381</v>
      </c>
      <c r="AD73" s="31" t="s">
        <v>1995</v>
      </c>
    </row>
    <row r="74" spans="1:33" ht="13" customHeight="1">
      <c r="B74" s="31" t="s">
        <v>1511</v>
      </c>
      <c r="C74" s="31" t="s">
        <v>1664</v>
      </c>
      <c r="E74" s="31" t="s">
        <v>253</v>
      </c>
      <c r="G74" s="31">
        <v>22</v>
      </c>
      <c r="H74" s="31">
        <v>11</v>
      </c>
      <c r="I74" s="10">
        <v>16.399999999999999</v>
      </c>
      <c r="J74" s="633">
        <v>5.6</v>
      </c>
      <c r="K74" s="463" t="s">
        <v>24</v>
      </c>
      <c r="M74" s="31">
        <v>97</v>
      </c>
      <c r="N74" s="31" t="s">
        <v>24</v>
      </c>
      <c r="O74" s="31" t="s">
        <v>24</v>
      </c>
      <c r="P74" s="635">
        <f>17.3*88.4</f>
        <v>1529.3200000000002</v>
      </c>
      <c r="Q74" s="18" t="s">
        <v>24</v>
      </c>
      <c r="R74" s="18"/>
      <c r="S74" s="18" t="s">
        <v>1784</v>
      </c>
      <c r="T74" s="116">
        <v>12</v>
      </c>
      <c r="U74" s="116">
        <v>6</v>
      </c>
      <c r="V74" s="31">
        <v>13.4</v>
      </c>
      <c r="W74" s="31">
        <v>3.9</v>
      </c>
      <c r="X74" s="31" t="s">
        <v>24</v>
      </c>
      <c r="Z74" s="31">
        <v>110.6</v>
      </c>
      <c r="AA74" s="31" t="s">
        <v>24</v>
      </c>
      <c r="AB74" s="30" t="s">
        <v>24</v>
      </c>
      <c r="AD74" s="18" t="s">
        <v>1782</v>
      </c>
      <c r="AE74" s="17" t="s">
        <v>1783</v>
      </c>
    </row>
    <row r="75" spans="1:33" ht="13" customHeight="1">
      <c r="B75" s="31" t="s">
        <v>1511</v>
      </c>
      <c r="C75" s="31" t="s">
        <v>2124</v>
      </c>
      <c r="D75" s="30" t="s">
        <v>2428</v>
      </c>
      <c r="E75" s="31" t="s">
        <v>1326</v>
      </c>
      <c r="G75" s="31">
        <v>10</v>
      </c>
      <c r="H75" s="31">
        <v>3</v>
      </c>
      <c r="I75" s="10">
        <v>20.6</v>
      </c>
      <c r="J75" s="633">
        <f>(28.6-13.4)/4</f>
        <v>3.8000000000000003</v>
      </c>
      <c r="K75" s="463" t="s">
        <v>2147</v>
      </c>
      <c r="P75" s="635">
        <v>1014</v>
      </c>
      <c r="Q75" s="18">
        <v>216</v>
      </c>
      <c r="R75" s="18"/>
      <c r="S75" s="18"/>
      <c r="T75" s="31">
        <v>10</v>
      </c>
      <c r="U75" s="31">
        <v>3</v>
      </c>
      <c r="V75" s="31">
        <v>20.54</v>
      </c>
      <c r="W75" s="31">
        <f>(27.92-13.58)/4</f>
        <v>3.5850000000000004</v>
      </c>
      <c r="X75" s="31" t="s">
        <v>2439</v>
      </c>
      <c r="AB75" s="30"/>
      <c r="AD75" s="110" t="s">
        <v>232</v>
      </c>
      <c r="AE75" s="17" t="s">
        <v>2149</v>
      </c>
    </row>
    <row r="76" spans="1:33" ht="13" customHeight="1">
      <c r="B76" s="31" t="s">
        <v>1511</v>
      </c>
      <c r="C76" s="110" t="s">
        <v>1138</v>
      </c>
      <c r="D76" s="110"/>
      <c r="E76" s="110" t="s">
        <v>253</v>
      </c>
      <c r="F76" s="30"/>
      <c r="G76" s="116">
        <v>18</v>
      </c>
      <c r="H76" s="116">
        <v>9</v>
      </c>
      <c r="I76" s="230">
        <v>17.88</v>
      </c>
      <c r="J76" s="137">
        <v>2.74</v>
      </c>
      <c r="K76" s="110" t="s">
        <v>1141</v>
      </c>
      <c r="L76" s="110"/>
      <c r="M76" s="110">
        <v>104.8</v>
      </c>
      <c r="N76" s="110">
        <v>10.9</v>
      </c>
      <c r="O76" s="110" t="s">
        <v>24</v>
      </c>
      <c r="P76" s="164" t="s">
        <v>1143</v>
      </c>
      <c r="Q76" s="110" t="s">
        <v>24</v>
      </c>
      <c r="R76" s="110"/>
      <c r="S76" s="110" t="s">
        <v>24</v>
      </c>
      <c r="T76" s="116">
        <v>16</v>
      </c>
      <c r="U76" s="116">
        <v>8</v>
      </c>
      <c r="V76" s="116">
        <v>16.32</v>
      </c>
      <c r="W76" s="139">
        <v>2.92</v>
      </c>
      <c r="X76" s="116" t="s">
        <v>24</v>
      </c>
      <c r="Y76" s="116"/>
      <c r="Z76" s="116" t="s">
        <v>1921</v>
      </c>
      <c r="AA76" s="31" t="s">
        <v>24</v>
      </c>
      <c r="AB76" s="30" t="s">
        <v>24</v>
      </c>
      <c r="AC76" s="30"/>
      <c r="AD76" s="110" t="s">
        <v>232</v>
      </c>
      <c r="AE76" s="30" t="s">
        <v>1922</v>
      </c>
      <c r="AF76" s="30"/>
      <c r="AG76" s="110"/>
    </row>
    <row r="77" spans="1:33" ht="13" customHeight="1">
      <c r="A77" s="31" t="s">
        <v>2013</v>
      </c>
      <c r="B77" s="31" t="s">
        <v>1511</v>
      </c>
      <c r="C77" s="31" t="s">
        <v>2077</v>
      </c>
      <c r="E77" s="31" t="s">
        <v>253</v>
      </c>
      <c r="G77" s="31">
        <v>13</v>
      </c>
      <c r="H77" s="31">
        <v>6</v>
      </c>
      <c r="I77" s="120">
        <v>22.1</v>
      </c>
      <c r="J77" s="28">
        <v>9.4</v>
      </c>
      <c r="K77" s="180" t="s">
        <v>2066</v>
      </c>
      <c r="M77" s="31">
        <v>99.3</v>
      </c>
      <c r="N77" s="31">
        <v>11.3</v>
      </c>
      <c r="O77" s="31" t="s">
        <v>2067</v>
      </c>
      <c r="P77" s="636" t="s">
        <v>2069</v>
      </c>
      <c r="Q77" s="31">
        <v>418</v>
      </c>
      <c r="S77" s="31" t="s">
        <v>24</v>
      </c>
      <c r="T77" s="31">
        <v>13</v>
      </c>
      <c r="U77" s="31">
        <v>7</v>
      </c>
      <c r="V77" s="31">
        <v>22.7</v>
      </c>
      <c r="W77" s="31">
        <v>8.9</v>
      </c>
      <c r="X77" s="180" t="s">
        <v>2070</v>
      </c>
      <c r="Z77" s="31">
        <v>110.1</v>
      </c>
      <c r="AA77" s="31">
        <v>9.4</v>
      </c>
      <c r="AD77" s="31" t="s">
        <v>1995</v>
      </c>
    </row>
    <row r="78" spans="1:33" ht="13" customHeight="1">
      <c r="A78" s="31" t="s">
        <v>2013</v>
      </c>
      <c r="B78" s="31" t="s">
        <v>1511</v>
      </c>
      <c r="C78" s="116" t="s">
        <v>2046</v>
      </c>
      <c r="E78" s="31" t="s">
        <v>253</v>
      </c>
      <c r="F78" s="180"/>
      <c r="G78" s="31">
        <v>32</v>
      </c>
      <c r="H78" s="31">
        <v>12</v>
      </c>
      <c r="I78" s="120">
        <v>18</v>
      </c>
      <c r="J78" s="28">
        <v>9</v>
      </c>
      <c r="K78" s="180" t="s">
        <v>2120</v>
      </c>
      <c r="P78" s="636">
        <v>734</v>
      </c>
      <c r="Q78" s="31">
        <v>410</v>
      </c>
      <c r="S78" s="31" t="s">
        <v>2119</v>
      </c>
      <c r="T78" s="31">
        <v>12</v>
      </c>
      <c r="U78" s="31">
        <v>4</v>
      </c>
      <c r="V78" s="31">
        <v>17.8</v>
      </c>
      <c r="W78" s="31">
        <v>8</v>
      </c>
      <c r="X78" s="180" t="s">
        <v>2121</v>
      </c>
      <c r="AD78" s="31" t="s">
        <v>1995</v>
      </c>
    </row>
    <row r="79" spans="1:33" ht="13" customHeight="1">
      <c r="B79" s="31" t="s">
        <v>1511</v>
      </c>
      <c r="C79" s="110" t="s">
        <v>1227</v>
      </c>
      <c r="D79" s="110" t="s">
        <v>2430</v>
      </c>
      <c r="E79" s="110" t="s">
        <v>253</v>
      </c>
      <c r="F79" s="30"/>
      <c r="G79" s="116">
        <v>15</v>
      </c>
      <c r="H79" s="116">
        <v>8</v>
      </c>
      <c r="I79" s="109">
        <v>14.8</v>
      </c>
      <c r="J79" s="137">
        <f>(20-8)/4</f>
        <v>3</v>
      </c>
      <c r="K79" s="133" t="s">
        <v>1229</v>
      </c>
      <c r="L79" s="110"/>
      <c r="M79" s="31">
        <v>102</v>
      </c>
      <c r="N79" s="31">
        <v>13</v>
      </c>
      <c r="O79" s="31" t="s">
        <v>1914</v>
      </c>
      <c r="P79" s="164">
        <v>660</v>
      </c>
      <c r="Q79" s="110">
        <f>(1730-222)/4</f>
        <v>377</v>
      </c>
      <c r="R79" s="110"/>
      <c r="S79" s="110" t="s">
        <v>1230</v>
      </c>
      <c r="T79" s="116" t="s">
        <v>1228</v>
      </c>
      <c r="U79" s="116" t="s">
        <v>24</v>
      </c>
      <c r="V79" s="116" t="s">
        <v>24</v>
      </c>
      <c r="W79" s="139" t="s">
        <v>24</v>
      </c>
      <c r="X79" s="116" t="s">
        <v>24</v>
      </c>
      <c r="Y79" s="116"/>
      <c r="Z79" s="116" t="s">
        <v>24</v>
      </c>
      <c r="AA79" s="31" t="s">
        <v>24</v>
      </c>
      <c r="AB79" s="30" t="s">
        <v>24</v>
      </c>
      <c r="AC79" s="30"/>
      <c r="AD79" s="110" t="s">
        <v>1232</v>
      </c>
      <c r="AE79" s="30" t="s">
        <v>1231</v>
      </c>
      <c r="AF79" s="30"/>
      <c r="AG79" s="110"/>
    </row>
    <row r="80" spans="1:33" ht="13" customHeight="1">
      <c r="C80" s="110"/>
      <c r="D80" s="110"/>
      <c r="E80" s="110"/>
      <c r="F80" s="30"/>
      <c r="G80" s="116"/>
      <c r="H80" s="116"/>
      <c r="I80" s="109"/>
      <c r="J80" s="110"/>
      <c r="K80" s="133"/>
      <c r="L80" s="110"/>
      <c r="P80" s="110"/>
      <c r="Q80" s="110"/>
      <c r="R80" s="110"/>
      <c r="S80" s="110"/>
      <c r="T80" s="116"/>
      <c r="U80" s="116"/>
      <c r="V80" s="116"/>
      <c r="W80" s="139"/>
      <c r="X80" s="116"/>
      <c r="Y80" s="116"/>
      <c r="Z80" s="116"/>
      <c r="AB80" s="30"/>
      <c r="AC80" s="30"/>
      <c r="AD80" s="110"/>
      <c r="AF80" s="30"/>
      <c r="AG80" s="110"/>
    </row>
    <row r="81" spans="2:33" ht="13" customHeight="1">
      <c r="C81" s="109" t="s">
        <v>2697</v>
      </c>
      <c r="D81" s="110"/>
      <c r="E81" s="110"/>
      <c r="F81" s="30"/>
      <c r="G81" s="120">
        <f>AVERAGE(G73:G79)</f>
        <v>18.571428571428573</v>
      </c>
      <c r="H81" s="156">
        <f>AVERAGE(H73:H79)</f>
        <v>8.2857142857142865</v>
      </c>
      <c r="I81" s="156">
        <f>AVERAGE(I73:I79)</f>
        <v>17.968571428571426</v>
      </c>
      <c r="J81" s="156">
        <f>AVERAGE(J73:J79)</f>
        <v>5.3342857142857145</v>
      </c>
      <c r="K81" s="156"/>
      <c r="L81" s="156"/>
      <c r="M81" s="156" t="e">
        <f>AVERAGE(M63:M67,M48:M61,M46,M21:M37,M20,#REF!,M6:M15,M73:M79)</f>
        <v>#REF!</v>
      </c>
      <c r="N81" s="156" t="e">
        <f>AVERAGE(N63:N67,N48:N61,N46,N21:N37,N20,#REF!,N6:N15,N73:N79)</f>
        <v>#REF!</v>
      </c>
      <c r="O81" s="156"/>
      <c r="P81" s="156">
        <f>AVERAGE(P73:P79)</f>
        <v>906.12400000000002</v>
      </c>
      <c r="Q81" s="156">
        <f>AVERAGE(Q73:Q79)</f>
        <v>355.4</v>
      </c>
      <c r="R81" s="156"/>
      <c r="S81" s="156" t="e">
        <f>AVERAGE(S73:S79)</f>
        <v>#DIV/0!</v>
      </c>
      <c r="T81" s="156">
        <f>AVERAGE(T73:T79)</f>
        <v>13.833333333333334</v>
      </c>
      <c r="U81" s="156">
        <f>AVERAGE(U73:U79)</f>
        <v>6.333333333333333</v>
      </c>
      <c r="V81" s="156">
        <f>AVERAGE(V73:V79)</f>
        <v>17.826666666666668</v>
      </c>
      <c r="W81" s="156">
        <f>AVERAGE(W73:W79)</f>
        <v>5.184166666666667</v>
      </c>
      <c r="X81" s="116"/>
      <c r="Y81" s="116"/>
      <c r="Z81" s="116"/>
      <c r="AB81" s="30"/>
      <c r="AC81" s="30"/>
      <c r="AD81" s="110"/>
      <c r="AF81" s="30"/>
      <c r="AG81" s="110"/>
    </row>
    <row r="82" spans="2:33" ht="13" customHeight="1">
      <c r="B82" s="120"/>
      <c r="C82" s="628" t="s">
        <v>10</v>
      </c>
      <c r="G82" s="160">
        <f>STDEV(G73:G79)</f>
        <v>7.2078000077957878</v>
      </c>
      <c r="H82" s="161">
        <f>STDEV(H73:H79)</f>
        <v>3.0394235042348474</v>
      </c>
      <c r="I82" s="161">
        <f>STDEV(I73:I79)</f>
        <v>2.5941435874640701</v>
      </c>
      <c r="J82" s="161">
        <f>STDEV(J73:J79)</f>
        <v>2.7965863544856311</v>
      </c>
      <c r="K82" s="161"/>
      <c r="L82" s="161"/>
      <c r="M82" s="161" t="e">
        <f>STDEV(M73:M79,M63:M67,M48:M61,M46,M21:M37,M20,#REF!,M6:M15)</f>
        <v>#REF!</v>
      </c>
      <c r="N82" s="161" t="e">
        <f>STDEV(N73:N79,N63:N67,N48:N61,N46,N21:N37,N20,#REF!,N6:N15)</f>
        <v>#REF!</v>
      </c>
      <c r="O82" s="161"/>
      <c r="P82" s="161">
        <f>STDEV(P73:P79)</f>
        <v>383.42960094390236</v>
      </c>
      <c r="Q82" s="161">
        <f>STDEV(Q73:Q79)</f>
        <v>81.852306015163606</v>
      </c>
      <c r="R82" s="161"/>
      <c r="S82" s="161" t="e">
        <f>STDEV(S73:S79)</f>
        <v>#DIV/0!</v>
      </c>
      <c r="T82" s="161">
        <f>STDEV(T73:T79)</f>
        <v>3.6009258068817038</v>
      </c>
      <c r="U82" s="161">
        <f>STDEV(U73:U79)</f>
        <v>2.5819888974716116</v>
      </c>
      <c r="V82" s="161">
        <f>STDEV(V73:V79)</f>
        <v>3.3353780395431376</v>
      </c>
      <c r="W82" s="161">
        <f>STDEV(W73:W79)</f>
        <v>2.5684672796566188</v>
      </c>
      <c r="X82" s="156"/>
      <c r="Y82" s="156"/>
      <c r="Z82" s="156">
        <f>AVERAGE(Z6:Z37,Z46:Z67,Z74:Z79)</f>
        <v>98.744347826086951</v>
      </c>
      <c r="AA82" s="156">
        <f>AVERAGE(AA6:AA37,AA46:AA67,AA74:AA79)</f>
        <v>10.795</v>
      </c>
    </row>
    <row r="83" spans="2:33" ht="13" customHeight="1">
      <c r="C83" s="172" t="s">
        <v>213</v>
      </c>
      <c r="D83" s="484"/>
      <c r="E83" s="176"/>
      <c r="F83" s="176"/>
      <c r="G83" s="173">
        <f>SUM(G73:G79)</f>
        <v>130</v>
      </c>
      <c r="H83" s="173">
        <f>SUM(H73:H79)</f>
        <v>58</v>
      </c>
      <c r="I83" s="176"/>
      <c r="J83" s="176"/>
      <c r="K83" s="176"/>
      <c r="L83" s="176"/>
      <c r="M83" s="176"/>
      <c r="N83" s="176"/>
      <c r="O83" s="176"/>
      <c r="P83" s="176"/>
      <c r="Q83" s="176"/>
      <c r="R83" s="176"/>
      <c r="S83" s="176"/>
      <c r="T83" s="176"/>
      <c r="U83" s="176"/>
      <c r="V83" s="176"/>
      <c r="W83" s="176"/>
      <c r="X83" s="634"/>
      <c r="Y83" s="634"/>
      <c r="Z83" s="634">
        <f>STDEV(Z6:Z37,Z46:Z67,Z74:Z79)</f>
        <v>26.577761521803925</v>
      </c>
      <c r="AA83" s="634">
        <f>STDEV(AA6:AA37,AA46:AA67,AA74:AA79)</f>
        <v>3.3298451046636699</v>
      </c>
      <c r="AB83" s="176"/>
      <c r="AC83" s="176"/>
      <c r="AD83" s="176"/>
      <c r="AE83" s="484"/>
    </row>
    <row r="84" spans="2:33" ht="13" customHeight="1">
      <c r="C84" s="110"/>
      <c r="G84" s="116"/>
      <c r="H84" s="116"/>
      <c r="I84" s="31"/>
      <c r="X84" s="161"/>
      <c r="Y84" s="161"/>
      <c r="Z84" s="161"/>
      <c r="AA84" s="161"/>
    </row>
    <row r="85" spans="2:33" ht="13" customHeight="1">
      <c r="C85" s="109" t="s">
        <v>2700</v>
      </c>
      <c r="G85" s="170">
        <f>AVERAGE(G73:G79,G46:G67,G6:G37)</f>
        <v>26.678571428571427</v>
      </c>
      <c r="H85" s="170">
        <f t="shared" ref="H85:W85" si="6">AVERAGE(H73:H79,H46:H67,H6:H37)</f>
        <v>15</v>
      </c>
      <c r="I85" s="170">
        <f t="shared" si="6"/>
        <v>20.366428571428568</v>
      </c>
      <c r="J85" s="170">
        <f t="shared" si="6"/>
        <v>4.1993910256410256</v>
      </c>
      <c r="K85" s="170"/>
      <c r="L85" s="170"/>
      <c r="M85" s="170">
        <f t="shared" si="6"/>
        <v>98.837692307692336</v>
      </c>
      <c r="N85" s="170">
        <f t="shared" si="6"/>
        <v>11.362916666666665</v>
      </c>
      <c r="O85" s="170" t="e">
        <f t="shared" si="6"/>
        <v>#DIV/0!</v>
      </c>
      <c r="P85" s="170">
        <f t="shared" si="6"/>
        <v>816.00157200000001</v>
      </c>
      <c r="Q85" s="170">
        <f t="shared" si="6"/>
        <v>285.69753826086958</v>
      </c>
      <c r="R85" s="170"/>
      <c r="S85" s="170" t="e">
        <f t="shared" si="6"/>
        <v>#DIV/0!</v>
      </c>
      <c r="T85" s="170">
        <f>AVERAGE(T73:T79,T46:T67,T6:T37)</f>
        <v>27.584905660377359</v>
      </c>
      <c r="U85" s="170">
        <f t="shared" si="6"/>
        <v>15.3125</v>
      </c>
      <c r="V85" s="170">
        <f t="shared" si="6"/>
        <v>19.416601307189548</v>
      </c>
      <c r="W85" s="170">
        <f t="shared" si="6"/>
        <v>4.1585185185185196</v>
      </c>
      <c r="X85" s="161"/>
      <c r="Y85" s="161"/>
      <c r="Z85" s="161"/>
      <c r="AA85" s="161"/>
    </row>
    <row r="86" spans="2:33" ht="13" customHeight="1">
      <c r="C86" s="628" t="s">
        <v>10</v>
      </c>
      <c r="G86" s="355">
        <f>STDEV(G73:G79,G46:G67,G6:G37)</f>
        <v>22.920500663147624</v>
      </c>
      <c r="H86" s="355">
        <f>STDEV(H73:H79,H46:H67,H6:H37)</f>
        <v>15.068397518435226</v>
      </c>
      <c r="I86" s="355">
        <f t="shared" ref="I86" si="7">STDEV(I73:I79,I46:I67,I6:I37)</f>
        <v>8.4675179208703089</v>
      </c>
      <c r="J86" s="355">
        <f>STDEV(J73:J79,J46:J67,J6:J37)</f>
        <v>2.3848789900663561</v>
      </c>
      <c r="O86" s="355">
        <f>STDEV(P73:P79,P46:P67,P6:P37)</f>
        <v>393.12654890200002</v>
      </c>
      <c r="P86" s="355">
        <f>STDEV(P73:P79,P46:P67,P6:P37)</f>
        <v>393.12654890200002</v>
      </c>
      <c r="Q86" s="355">
        <f>STDEV(Q73:Q79,Q46:Q67,Q6:Q37)</f>
        <v>126.8884904761361</v>
      </c>
      <c r="R86" s="355"/>
      <c r="S86" s="355">
        <f t="shared" ref="S86" si="8">STDEV(T73:T79,T46:T67,T6:T37)</f>
        <v>18.64489408582677</v>
      </c>
      <c r="T86" s="355">
        <f>STDEV(T73:T79,T46:T67,T6:T37)</f>
        <v>18.64489408582677</v>
      </c>
      <c r="U86" s="355">
        <f>STDEV(U73:U79,U46:U67,U6:U37)</f>
        <v>12.603876894271757</v>
      </c>
      <c r="V86" s="355">
        <f>STDEV(V73:V79,V46:V67,V6:V37)</f>
        <v>8.0550460510496951</v>
      </c>
      <c r="W86" s="355">
        <f>STDEV(W73:W79,W46:W67,W6:W37)</f>
        <v>2.6181988426346661</v>
      </c>
      <c r="X86" s="161"/>
      <c r="Y86" s="161"/>
      <c r="Z86" s="161"/>
      <c r="AA86" s="161"/>
    </row>
    <row r="87" spans="2:33" ht="13" customHeight="1">
      <c r="C87" s="172" t="s">
        <v>213</v>
      </c>
      <c r="G87" s="241">
        <f>SUM(G73:G79,G46:G67,G6:G37)</f>
        <v>1494</v>
      </c>
      <c r="H87" s="241">
        <f>SUM(H73:H79,H46:H67,H6:H37)</f>
        <v>810</v>
      </c>
      <c r="I87" s="31"/>
      <c r="T87" s="241">
        <f>SUM(T73:T79,T46:T67,T6:T37)</f>
        <v>1462</v>
      </c>
      <c r="U87" s="241">
        <f>SUM(U73:U79,U46:U67,U6:U37)</f>
        <v>735</v>
      </c>
      <c r="X87" s="161"/>
      <c r="Y87" s="161"/>
      <c r="Z87" s="161"/>
      <c r="AA87" s="161"/>
    </row>
    <row r="88" spans="2:33" ht="13" customHeight="1">
      <c r="C88" s="110"/>
      <c r="G88" s="116"/>
      <c r="H88" s="116"/>
      <c r="I88" s="31"/>
      <c r="X88" s="161"/>
      <c r="Y88" s="161"/>
      <c r="Z88" s="161"/>
      <c r="AA88" s="161"/>
    </row>
    <row r="89" spans="2:33" ht="13" customHeight="1">
      <c r="C89" s="3" t="s">
        <v>2705</v>
      </c>
      <c r="D89" s="110"/>
      <c r="E89" s="110"/>
      <c r="F89" s="30"/>
      <c r="G89" s="116"/>
      <c r="H89" s="116"/>
      <c r="I89" s="109"/>
      <c r="J89" s="110"/>
      <c r="K89" s="110"/>
      <c r="L89" s="110"/>
      <c r="M89" s="110"/>
      <c r="N89" s="110"/>
      <c r="O89" s="110"/>
      <c r="P89" s="110"/>
      <c r="Q89" s="110"/>
      <c r="R89" s="110"/>
      <c r="S89" s="110"/>
      <c r="T89" s="116"/>
      <c r="U89" s="116"/>
      <c r="V89" s="116"/>
      <c r="W89" s="116"/>
      <c r="X89" s="116"/>
      <c r="Y89" s="116"/>
      <c r="Z89" s="116"/>
      <c r="AB89" s="30"/>
      <c r="AC89" s="30"/>
      <c r="AD89" s="110"/>
      <c r="AF89" s="30"/>
      <c r="AG89" s="110"/>
    </row>
    <row r="90" spans="2:33" ht="13" customHeight="1">
      <c r="C90" s="242" t="s">
        <v>2706</v>
      </c>
      <c r="D90" s="116"/>
      <c r="E90" s="116"/>
      <c r="G90" s="116"/>
      <c r="H90" s="116"/>
      <c r="I90" s="111"/>
      <c r="J90" s="110"/>
      <c r="K90" s="110"/>
      <c r="L90" s="110"/>
      <c r="M90" s="110"/>
      <c r="N90" s="110"/>
      <c r="O90" s="110"/>
      <c r="P90" s="110"/>
      <c r="Q90" s="110"/>
      <c r="R90" s="110"/>
      <c r="S90" s="110"/>
      <c r="T90" s="116"/>
      <c r="U90" s="116"/>
      <c r="V90" s="116"/>
      <c r="W90" s="116"/>
      <c r="X90" s="116"/>
      <c r="Y90" s="116"/>
      <c r="Z90" s="116"/>
      <c r="AB90" s="30"/>
      <c r="AC90" s="30"/>
      <c r="AD90" s="110"/>
      <c r="AF90" s="30"/>
      <c r="AG90" s="110"/>
    </row>
    <row r="91" spans="2:33" ht="13" customHeight="1">
      <c r="C91" s="135" t="s">
        <v>2698</v>
      </c>
      <c r="I91" s="31"/>
    </row>
    <row r="92" spans="2:33" ht="13" customHeight="1">
      <c r="C92" s="135" t="s">
        <v>2406</v>
      </c>
      <c r="I92" s="31"/>
    </row>
    <row r="93" spans="2:33" ht="13" customHeight="1">
      <c r="C93" s="135" t="s">
        <v>2699</v>
      </c>
      <c r="I93" s="31"/>
    </row>
  </sheetData>
  <mergeCells count="95">
    <mergeCell ref="E46:E47"/>
    <mergeCell ref="AD16:AD18"/>
    <mergeCell ref="AE16:AE18"/>
    <mergeCell ref="D23:E23"/>
    <mergeCell ref="U16:U18"/>
    <mergeCell ref="V16:V18"/>
    <mergeCell ref="W16:W18"/>
    <mergeCell ref="X16:X18"/>
    <mergeCell ref="K32:K33"/>
    <mergeCell ref="D46:D47"/>
    <mergeCell ref="M16:M18"/>
    <mergeCell ref="N16:N18"/>
    <mergeCell ref="O16:O18"/>
    <mergeCell ref="P16:P18"/>
    <mergeCell ref="Q16:Q18"/>
    <mergeCell ref="E16:E18"/>
    <mergeCell ref="G16:G18"/>
    <mergeCell ref="H16:H18"/>
    <mergeCell ref="I16:I18"/>
    <mergeCell ref="J16:J18"/>
    <mergeCell ref="K19:K20"/>
    <mergeCell ref="T16:T18"/>
    <mergeCell ref="W19:W20"/>
    <mergeCell ref="X19:X20"/>
    <mergeCell ref="AD19:AD20"/>
    <mergeCell ref="K16:K18"/>
    <mergeCell ref="P19:P20"/>
    <mergeCell ref="Q19:Q20"/>
    <mergeCell ref="S19:S20"/>
    <mergeCell ref="T19:T20"/>
    <mergeCell ref="U19:U20"/>
    <mergeCell ref="E19:E20"/>
    <mergeCell ref="G19:G20"/>
    <mergeCell ref="H19:H20"/>
    <mergeCell ref="I19:I20"/>
    <mergeCell ref="J19:J20"/>
    <mergeCell ref="B14:B15"/>
    <mergeCell ref="C14:C15"/>
    <mergeCell ref="B32:B33"/>
    <mergeCell ref="C32:C33"/>
    <mergeCell ref="D19:D20"/>
    <mergeCell ref="B29:B30"/>
    <mergeCell ref="C29:C30"/>
    <mergeCell ref="D16:D18"/>
    <mergeCell ref="G3:Q3"/>
    <mergeCell ref="T3:W3"/>
    <mergeCell ref="I4:K4"/>
    <mergeCell ref="M4:O4"/>
    <mergeCell ref="P4:Q4"/>
    <mergeCell ref="V4:X4"/>
    <mergeCell ref="C72:E72"/>
    <mergeCell ref="Z43:AA43"/>
    <mergeCell ref="AD43:AE44"/>
    <mergeCell ref="AG43:AG44"/>
    <mergeCell ref="C4:E4"/>
    <mergeCell ref="C43:E43"/>
    <mergeCell ref="G42:Q42"/>
    <mergeCell ref="T42:W42"/>
    <mergeCell ref="I43:K43"/>
    <mergeCell ref="M43:O43"/>
    <mergeCell ref="P43:Q43"/>
    <mergeCell ref="V43:X43"/>
    <mergeCell ref="Z4:AA4"/>
    <mergeCell ref="AD4:AE5"/>
    <mergeCell ref="AG4:AG5"/>
    <mergeCell ref="V19:V20"/>
    <mergeCell ref="I46:I47"/>
    <mergeCell ref="H46:H47"/>
    <mergeCell ref="G46:G47"/>
    <mergeCell ref="P46:Q47"/>
    <mergeCell ref="J46:J47"/>
    <mergeCell ref="K46:K47"/>
    <mergeCell ref="X61:X62"/>
    <mergeCell ref="AD61:AD62"/>
    <mergeCell ref="T46:T47"/>
    <mergeCell ref="U46:U47"/>
    <mergeCell ref="V46:V47"/>
    <mergeCell ref="W46:W47"/>
    <mergeCell ref="AD46:AD47"/>
    <mergeCell ref="AE61:AE62"/>
    <mergeCell ref="AG61:AG62"/>
    <mergeCell ref="AE46:AE47"/>
    <mergeCell ref="D61:D62"/>
    <mergeCell ref="E61:E62"/>
    <mergeCell ref="G61:G62"/>
    <mergeCell ref="H61:H62"/>
    <mergeCell ref="I61:I62"/>
    <mergeCell ref="J61:J62"/>
    <mergeCell ref="K61:K62"/>
    <mergeCell ref="P61:P62"/>
    <mergeCell ref="Q61:Q62"/>
    <mergeCell ref="T61:T62"/>
    <mergeCell ref="U61:U62"/>
    <mergeCell ref="V61:V62"/>
    <mergeCell ref="W61:W6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baseColWidth="10" defaultColWidth="7" defaultRowHeight="21.75" customHeight="1"/>
  <cols>
    <col min="1" max="1" width="21.6640625" style="31" customWidth="1"/>
    <col min="2" max="2" width="9.83203125" style="31" customWidth="1"/>
    <col min="3" max="5" width="7" style="31"/>
    <col min="6" max="6" width="7" style="171"/>
    <col min="7" max="7" width="2.1640625" style="31" customWidth="1"/>
    <col min="8" max="8" width="7" style="31"/>
    <col min="9" max="9" width="10.1640625" style="171" customWidth="1"/>
    <col min="10" max="10" width="2.5" style="31" customWidth="1"/>
    <col min="11" max="13" width="7" style="31"/>
    <col min="14" max="14" width="7" style="160"/>
    <col min="15" max="16384" width="7" style="31"/>
  </cols>
  <sheetData>
    <row r="1" spans="1:19" ht="21.75" customHeight="1">
      <c r="A1" s="525" t="s">
        <v>2431</v>
      </c>
      <c r="B1" s="525"/>
      <c r="C1" s="525"/>
      <c r="R1" s="417" t="s">
        <v>2424</v>
      </c>
    </row>
    <row r="2" spans="1:19" ht="21.75" customHeight="1" thickBot="1">
      <c r="A2" s="31" t="s">
        <v>1510</v>
      </c>
      <c r="S2" s="135" t="s">
        <v>2432</v>
      </c>
    </row>
    <row r="3" spans="1:19" ht="26" customHeight="1" thickBot="1">
      <c r="A3" s="534"/>
      <c r="B3" s="534"/>
      <c r="C3" s="668" t="s">
        <v>0</v>
      </c>
      <c r="D3" s="668"/>
      <c r="E3" s="668"/>
      <c r="F3" s="668"/>
      <c r="G3" s="668"/>
      <c r="H3" s="668"/>
      <c r="I3" s="668"/>
      <c r="J3" s="534"/>
      <c r="K3" s="668" t="s">
        <v>1</v>
      </c>
      <c r="L3" s="668"/>
      <c r="M3" s="668"/>
      <c r="N3" s="668"/>
      <c r="O3" s="140"/>
      <c r="S3" s="135" t="s">
        <v>2433</v>
      </c>
    </row>
    <row r="4" spans="1:19" ht="26" customHeight="1" thickBot="1">
      <c r="A4" s="535"/>
      <c r="B4" s="536"/>
      <c r="C4" s="536"/>
      <c r="D4" s="536"/>
      <c r="E4" s="669" t="s">
        <v>208</v>
      </c>
      <c r="F4" s="669"/>
      <c r="G4" s="536"/>
      <c r="H4" s="669" t="s">
        <v>2443</v>
      </c>
      <c r="I4" s="669"/>
      <c r="J4" s="536"/>
      <c r="K4" s="536"/>
      <c r="L4" s="536"/>
      <c r="M4" s="669" t="s">
        <v>208</v>
      </c>
      <c r="N4" s="669"/>
      <c r="O4" s="30"/>
      <c r="S4" s="417" t="s">
        <v>2425</v>
      </c>
    </row>
    <row r="5" spans="1:19" ht="26" customHeight="1" thickBot="1">
      <c r="A5" s="537" t="s">
        <v>2313</v>
      </c>
      <c r="B5" s="538" t="s">
        <v>2324</v>
      </c>
      <c r="C5" s="538" t="s">
        <v>213</v>
      </c>
      <c r="D5" s="538" t="s">
        <v>214</v>
      </c>
      <c r="E5" s="538" t="s">
        <v>18</v>
      </c>
      <c r="F5" s="539" t="s">
        <v>10</v>
      </c>
      <c r="G5" s="538"/>
      <c r="H5" s="538" t="s">
        <v>18</v>
      </c>
      <c r="I5" s="539" t="s">
        <v>10</v>
      </c>
      <c r="J5" s="536"/>
      <c r="K5" s="538" t="s">
        <v>213</v>
      </c>
      <c r="L5" s="538" t="s">
        <v>214</v>
      </c>
      <c r="M5" s="538" t="s">
        <v>18</v>
      </c>
      <c r="N5" s="539" t="s">
        <v>10</v>
      </c>
      <c r="O5" s="110"/>
      <c r="R5" s="417" t="s">
        <v>2442</v>
      </c>
    </row>
    <row r="6" spans="1:19" ht="32" customHeight="1">
      <c r="A6" s="664" t="s">
        <v>2437</v>
      </c>
      <c r="B6" s="540" t="s">
        <v>2325</v>
      </c>
      <c r="C6" s="541">
        <v>922</v>
      </c>
      <c r="D6" s="542">
        <v>545</v>
      </c>
      <c r="E6" s="541">
        <v>27.5</v>
      </c>
      <c r="F6" s="543">
        <v>4.7</v>
      </c>
      <c r="G6" s="536"/>
      <c r="H6" s="541">
        <v>974</v>
      </c>
      <c r="I6" s="544">
        <v>397</v>
      </c>
      <c r="J6" s="536"/>
      <c r="K6" s="541">
        <v>841</v>
      </c>
      <c r="L6" s="542">
        <v>447</v>
      </c>
      <c r="M6" s="541">
        <v>26.5</v>
      </c>
      <c r="N6" s="543">
        <v>4.4000000000000004</v>
      </c>
      <c r="O6" s="30"/>
      <c r="S6" s="135" t="s">
        <v>2434</v>
      </c>
    </row>
    <row r="7" spans="1:19" ht="17" customHeight="1">
      <c r="A7" s="665"/>
      <c r="B7" s="660" t="s">
        <v>2438</v>
      </c>
      <c r="C7" s="540">
        <v>30.7</v>
      </c>
      <c r="D7" s="662"/>
      <c r="E7" s="662"/>
      <c r="F7" s="545">
        <v>5.4</v>
      </c>
      <c r="G7" s="663"/>
      <c r="H7" s="666"/>
      <c r="I7" s="545">
        <v>313</v>
      </c>
      <c r="J7" s="663"/>
      <c r="K7" s="540">
        <v>30</v>
      </c>
      <c r="L7" s="662"/>
      <c r="M7" s="662"/>
      <c r="N7" s="545">
        <v>5.7</v>
      </c>
      <c r="O7" s="30"/>
      <c r="S7" s="135" t="s">
        <v>2435</v>
      </c>
    </row>
    <row r="8" spans="1:19" ht="14" customHeight="1">
      <c r="A8" s="665"/>
      <c r="B8" s="660"/>
      <c r="C8" s="545">
        <v>-29.3</v>
      </c>
      <c r="D8" s="662"/>
      <c r="E8" s="662"/>
      <c r="F8" s="545">
        <v>-2.2999999999999998</v>
      </c>
      <c r="G8" s="663"/>
      <c r="H8" s="666"/>
      <c r="I8" s="545">
        <v>-142</v>
      </c>
      <c r="J8" s="663"/>
      <c r="K8" s="545">
        <v>-18.5</v>
      </c>
      <c r="L8" s="662"/>
      <c r="M8" s="662"/>
      <c r="N8" s="545">
        <v>-2.8</v>
      </c>
      <c r="O8" s="30"/>
      <c r="S8" s="417" t="s">
        <v>2436</v>
      </c>
    </row>
    <row r="9" spans="1:19" ht="13" customHeight="1">
      <c r="A9" s="535"/>
      <c r="B9" s="536"/>
      <c r="C9" s="535"/>
      <c r="D9" s="535"/>
      <c r="E9" s="536"/>
      <c r="F9" s="536"/>
      <c r="G9" s="536"/>
      <c r="H9" s="536"/>
      <c r="I9" s="536"/>
      <c r="J9" s="536"/>
      <c r="K9" s="535"/>
      <c r="L9" s="535"/>
      <c r="M9" s="535"/>
      <c r="N9" s="535"/>
      <c r="O9" s="30"/>
    </row>
    <row r="10" spans="1:19" ht="26" customHeight="1">
      <c r="A10" s="667" t="s">
        <v>2444</v>
      </c>
      <c r="B10" s="540" t="s">
        <v>2325</v>
      </c>
      <c r="C10" s="546">
        <v>523</v>
      </c>
      <c r="D10" s="542">
        <v>254</v>
      </c>
      <c r="E10" s="546">
        <v>11</v>
      </c>
      <c r="F10" s="543">
        <v>1.6</v>
      </c>
      <c r="G10" s="536"/>
      <c r="H10" s="546">
        <v>522</v>
      </c>
      <c r="I10" s="547">
        <v>156</v>
      </c>
      <c r="J10" s="536"/>
      <c r="K10" s="546">
        <v>529</v>
      </c>
      <c r="L10" s="542">
        <v>283</v>
      </c>
      <c r="M10" s="546">
        <v>11.1</v>
      </c>
      <c r="N10" s="543">
        <v>1.6</v>
      </c>
      <c r="O10" s="30"/>
    </row>
    <row r="11" spans="1:19" ht="17" customHeight="1">
      <c r="A11" s="667"/>
      <c r="B11" s="660" t="s">
        <v>2438</v>
      </c>
      <c r="C11" s="540">
        <v>24.9</v>
      </c>
      <c r="D11" s="662"/>
      <c r="E11" s="662"/>
      <c r="F11" s="545">
        <v>2.4</v>
      </c>
      <c r="G11" s="663"/>
      <c r="H11" s="662"/>
      <c r="I11" s="545">
        <v>243</v>
      </c>
      <c r="J11" s="663"/>
      <c r="K11" s="540">
        <v>26.8</v>
      </c>
      <c r="L11" s="662"/>
      <c r="M11" s="662"/>
      <c r="N11" s="545">
        <v>2.2999999999999998</v>
      </c>
      <c r="O11" s="30"/>
    </row>
    <row r="12" spans="1:19" ht="15" customHeight="1">
      <c r="A12" s="667"/>
      <c r="B12" s="660"/>
      <c r="C12" s="545">
        <v>-14.2</v>
      </c>
      <c r="D12" s="662"/>
      <c r="E12" s="662"/>
      <c r="F12" s="545">
        <v>-0.9</v>
      </c>
      <c r="G12" s="663"/>
      <c r="H12" s="662"/>
      <c r="I12" s="545">
        <v>-101</v>
      </c>
      <c r="J12" s="663"/>
      <c r="K12" s="545">
        <v>-19.8</v>
      </c>
      <c r="L12" s="662"/>
      <c r="M12" s="662"/>
      <c r="N12" s="545">
        <v>-0.9</v>
      </c>
      <c r="O12" s="30"/>
    </row>
    <row r="13" spans="1:19" ht="14" customHeight="1">
      <c r="A13" s="535"/>
      <c r="B13" s="536"/>
      <c r="C13" s="535"/>
      <c r="D13" s="535"/>
      <c r="E13" s="536"/>
      <c r="F13" s="536"/>
      <c r="G13" s="536"/>
      <c r="H13" s="536"/>
      <c r="I13" s="536"/>
      <c r="J13" s="536"/>
      <c r="K13" s="535"/>
      <c r="L13" s="535"/>
      <c r="M13" s="535"/>
      <c r="N13" s="535"/>
      <c r="O13" s="30"/>
    </row>
    <row r="14" spans="1:19" ht="26" customHeight="1">
      <c r="A14" s="548" t="s">
        <v>2427</v>
      </c>
      <c r="B14" s="540" t="s">
        <v>2325</v>
      </c>
      <c r="C14" s="550">
        <v>1575</v>
      </c>
      <c r="D14" s="542">
        <v>857</v>
      </c>
      <c r="E14" s="550">
        <v>20.399999999999999</v>
      </c>
      <c r="F14" s="543">
        <v>8.5</v>
      </c>
      <c r="G14" s="536"/>
      <c r="H14" s="550">
        <v>804</v>
      </c>
      <c r="I14" s="551">
        <v>390</v>
      </c>
      <c r="J14" s="536"/>
      <c r="K14" s="550">
        <v>1433</v>
      </c>
      <c r="L14" s="542">
        <v>739</v>
      </c>
      <c r="M14" s="550">
        <v>19.600000000000001</v>
      </c>
      <c r="N14" s="543">
        <v>8.1</v>
      </c>
      <c r="O14" s="30"/>
    </row>
    <row r="15" spans="1:19" ht="26" customHeight="1">
      <c r="A15" s="548" t="s">
        <v>2445</v>
      </c>
      <c r="B15" s="660" t="s">
        <v>2438</v>
      </c>
      <c r="C15" s="540">
        <v>27.2</v>
      </c>
      <c r="D15" s="658"/>
      <c r="E15" s="658"/>
      <c r="F15" s="545">
        <v>4.2</v>
      </c>
      <c r="G15" s="658"/>
      <c r="H15" s="658"/>
      <c r="I15" s="545">
        <v>288</v>
      </c>
      <c r="J15" s="658"/>
      <c r="K15" s="540">
        <v>27</v>
      </c>
      <c r="L15" s="658"/>
      <c r="M15" s="658"/>
      <c r="N15" s="545">
        <v>4.2</v>
      </c>
      <c r="O15" s="30"/>
    </row>
    <row r="16" spans="1:19" ht="15" customHeight="1" thickBot="1">
      <c r="A16" s="549"/>
      <c r="B16" s="661"/>
      <c r="C16" s="552">
        <v>-23</v>
      </c>
      <c r="D16" s="659"/>
      <c r="E16" s="659"/>
      <c r="F16" s="553">
        <v>-2.4</v>
      </c>
      <c r="G16" s="659"/>
      <c r="H16" s="659"/>
      <c r="I16" s="553">
        <v>-126</v>
      </c>
      <c r="J16" s="659"/>
      <c r="K16" s="553">
        <v>-18.5</v>
      </c>
      <c r="L16" s="659"/>
      <c r="M16" s="659"/>
      <c r="N16" s="553">
        <v>-2.7</v>
      </c>
    </row>
    <row r="17" spans="1:14" ht="21.75" customHeight="1">
      <c r="A17" s="134"/>
      <c r="B17" s="540"/>
      <c r="C17" s="540"/>
      <c r="D17" s="542"/>
      <c r="E17" s="542"/>
      <c r="F17" s="545"/>
      <c r="G17" s="542"/>
      <c r="H17" s="542"/>
      <c r="I17" s="545"/>
      <c r="J17" s="542"/>
      <c r="K17" s="545"/>
      <c r="L17" s="542"/>
      <c r="M17" s="542"/>
      <c r="N17" s="545"/>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1511</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1511</v>
      </c>
      <c r="C59" s="110" t="s">
        <v>863</v>
      </c>
      <c r="D59" s="110"/>
      <c r="E59" s="110" t="s">
        <v>253</v>
      </c>
      <c r="F59" s="30"/>
      <c r="G59" s="116">
        <v>36</v>
      </c>
    </row>
    <row r="60" spans="2:7" ht="21.75" customHeight="1">
      <c r="B60" s="31" t="s">
        <v>1511</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1511</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1511</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18"/>
  <sheetViews>
    <sheetView tabSelected="1" workbookViewId="0">
      <pane xSplit="1" ySplit="6" topLeftCell="B589" activePane="bottomRight" state="frozen"/>
      <selection pane="topRight" activeCell="B1" sqref="B1"/>
      <selection pane="bottomLeft" activeCell="A7" sqref="A7"/>
      <selection pane="bottomRight" activeCell="A415" sqref="A415:A609"/>
    </sheetView>
  </sheetViews>
  <sheetFormatPr baseColWidth="10" defaultColWidth="15.83203125" defaultRowHeight="16" customHeight="1"/>
  <cols>
    <col min="1" max="1" width="9.33203125" customWidth="1"/>
    <col min="2" max="2" width="11.5" style="11" customWidth="1"/>
    <col min="3" max="3" width="21.33203125" style="11" customWidth="1"/>
    <col min="4" max="4" width="21.83203125" style="11" customWidth="1"/>
    <col min="5" max="5" width="19.1640625" style="11" customWidth="1"/>
    <col min="6" max="6" width="30.6640625" style="11" customWidth="1"/>
    <col min="7" max="7" width="7.33203125" style="11" customWidth="1"/>
    <col min="8" max="8" width="19.5" style="11" customWidth="1"/>
    <col min="9" max="9" width="6.83203125" customWidth="1"/>
    <col min="10" max="10" width="16.5" style="108" hidden="1" customWidth="1"/>
    <col min="11" max="11" width="41.33203125" style="108" customWidth="1"/>
    <col min="12" max="12" width="3.5" style="514" customWidth="1"/>
    <col min="13" max="13" width="20.5" hidden="1" customWidth="1"/>
    <col min="14" max="14" width="9.5" customWidth="1"/>
    <col min="15" max="15" width="10.1640625" style="157" customWidth="1"/>
    <col min="16" max="16" width="18.5" style="150" customWidth="1"/>
    <col min="17" max="17" width="7" style="209" customWidth="1"/>
    <col min="18" max="18" width="8.5" style="159" customWidth="1"/>
    <col min="19" max="19" width="8.83203125" style="578" customWidth="1"/>
    <col min="20" max="20" width="1.83203125" style="11" customWidth="1"/>
    <col min="21" max="21" width="9.83203125" style="157" customWidth="1"/>
    <col min="22" max="22" width="12.5" style="11" customWidth="1"/>
    <col min="23" max="23" width="7" style="209" customWidth="1"/>
    <col min="24" max="24" width="15.1640625" style="11" hidden="1" customWidth="1"/>
    <col min="25" max="25" width="15.1640625" hidden="1" customWidth="1"/>
    <col min="26" max="26" width="0.83203125" customWidth="1"/>
    <col min="27" max="27" width="5.83203125" style="11" customWidth="1"/>
    <col min="28" max="28" width="12.33203125" style="219" customWidth="1"/>
    <col min="29" max="29" width="0.1640625" customWidth="1"/>
    <col min="30" max="30" width="6" style="11" customWidth="1"/>
    <col min="31" max="31" width="16" style="11" customWidth="1"/>
    <col min="32" max="36" width="5.1640625" customWidth="1"/>
    <col min="41" max="16384" width="15.83203125" style="125"/>
  </cols>
  <sheetData>
    <row r="1" spans="1:40" ht="16" customHeight="1">
      <c r="A1" s="125"/>
      <c r="B1" s="178" t="s">
        <v>2447</v>
      </c>
      <c r="C1" s="125"/>
      <c r="D1" s="126"/>
      <c r="E1" s="126"/>
      <c r="F1" s="126"/>
      <c r="G1" s="126"/>
      <c r="H1" s="126"/>
      <c r="I1" s="185"/>
      <c r="J1" s="196"/>
      <c r="K1" s="196"/>
      <c r="L1" s="565"/>
      <c r="M1" s="185"/>
      <c r="N1" s="185"/>
      <c r="O1" s="670" t="s">
        <v>0</v>
      </c>
      <c r="P1" s="670"/>
      <c r="Q1" s="670"/>
      <c r="R1" s="574"/>
      <c r="S1" s="580"/>
      <c r="T1" s="127"/>
      <c r="U1" s="671" t="s">
        <v>1</v>
      </c>
      <c r="V1" s="671"/>
      <c r="W1" s="671"/>
      <c r="X1" s="128"/>
      <c r="Y1" s="166" t="s">
        <v>2</v>
      </c>
      <c r="Z1" s="166"/>
      <c r="AA1" s="226"/>
      <c r="AB1" s="220"/>
      <c r="AC1" s="167"/>
      <c r="AF1" s="672" t="s">
        <v>1410</v>
      </c>
      <c r="AG1" s="672"/>
      <c r="AH1" s="178"/>
      <c r="AI1" s="673" t="s">
        <v>1411</v>
      </c>
      <c r="AJ1" s="673"/>
      <c r="AK1" s="125"/>
      <c r="AL1" s="125"/>
      <c r="AM1" s="125"/>
      <c r="AN1" s="125"/>
    </row>
    <row r="2" spans="1:40" ht="16" customHeight="1">
      <c r="A2" s="125"/>
      <c r="B2" s="178"/>
      <c r="C2" s="195" t="s">
        <v>2448</v>
      </c>
      <c r="D2" s="125"/>
      <c r="E2" s="125"/>
      <c r="F2" s="125"/>
      <c r="G2" s="125"/>
      <c r="H2" s="125"/>
      <c r="I2" s="178"/>
      <c r="J2" s="195"/>
      <c r="K2" s="195"/>
      <c r="L2" s="564"/>
      <c r="M2" s="178"/>
      <c r="N2" s="178"/>
      <c r="O2" s="569"/>
      <c r="P2" s="555"/>
      <c r="Q2" s="128"/>
      <c r="R2" s="574"/>
      <c r="S2" s="579"/>
      <c r="T2" s="129"/>
      <c r="U2" s="569"/>
      <c r="V2" s="128"/>
      <c r="W2" s="128"/>
      <c r="X2" s="131"/>
      <c r="Y2" s="168"/>
      <c r="Z2" s="168"/>
      <c r="AA2" s="130"/>
      <c r="AB2" s="221"/>
      <c r="AC2" s="169"/>
      <c r="AF2" s="168"/>
      <c r="AG2" s="168"/>
      <c r="AH2" s="178"/>
      <c r="AI2" s="130"/>
      <c r="AJ2" s="130"/>
      <c r="AK2" s="125"/>
      <c r="AL2" s="125"/>
      <c r="AM2" s="125"/>
      <c r="AN2" s="125"/>
    </row>
    <row r="3" spans="1:40" ht="16" customHeight="1">
      <c r="A3" s="125"/>
      <c r="B3" s="125"/>
      <c r="C3" s="195" t="s">
        <v>2449</v>
      </c>
      <c r="D3" s="125"/>
      <c r="E3" s="125"/>
      <c r="F3" s="125"/>
      <c r="G3" s="125"/>
      <c r="H3" s="125"/>
      <c r="I3" s="178"/>
      <c r="J3" s="195"/>
      <c r="K3" s="195"/>
      <c r="L3" s="564"/>
      <c r="M3" s="178"/>
      <c r="N3" s="178"/>
      <c r="O3" s="671" t="s">
        <v>3</v>
      </c>
      <c r="P3" s="671"/>
      <c r="Q3" s="210"/>
      <c r="R3" s="574"/>
      <c r="S3" s="579"/>
      <c r="T3" s="129"/>
      <c r="U3" s="670" t="s">
        <v>3</v>
      </c>
      <c r="V3" s="670"/>
      <c r="W3" s="210"/>
      <c r="X3" s="131"/>
      <c r="Y3" s="168"/>
      <c r="Z3" s="168"/>
      <c r="AA3" s="130"/>
      <c r="AB3" s="221"/>
      <c r="AC3" s="169"/>
      <c r="AF3" s="674" t="s">
        <v>208</v>
      </c>
      <c r="AG3" s="674"/>
      <c r="AH3" s="178"/>
      <c r="AI3" s="671" t="s">
        <v>208</v>
      </c>
      <c r="AJ3" s="671"/>
      <c r="AK3" s="125"/>
      <c r="AL3" s="125"/>
      <c r="AM3" s="125"/>
      <c r="AN3" s="125"/>
    </row>
    <row r="4" spans="1:40" ht="16" customHeight="1">
      <c r="A4" s="125"/>
      <c r="B4" s="125"/>
      <c r="C4" s="195" t="s">
        <v>2450</v>
      </c>
      <c r="D4" s="125"/>
      <c r="E4" s="125"/>
      <c r="F4" s="125"/>
      <c r="G4" s="125"/>
      <c r="H4" s="125"/>
      <c r="I4" s="178"/>
      <c r="J4" s="195"/>
      <c r="K4" s="195"/>
      <c r="L4" s="564"/>
      <c r="M4" s="178"/>
      <c r="N4" s="178"/>
      <c r="O4" s="569"/>
      <c r="P4" s="555"/>
      <c r="Q4" s="554"/>
      <c r="R4" s="574"/>
      <c r="S4" s="579"/>
      <c r="T4" s="129"/>
      <c r="U4" s="569"/>
      <c r="V4" s="128"/>
      <c r="W4" s="210"/>
      <c r="X4" s="131"/>
      <c r="Y4" s="168"/>
      <c r="Z4" s="168"/>
      <c r="AA4" s="130"/>
      <c r="AB4" s="221"/>
      <c r="AC4" s="169"/>
      <c r="AF4" s="601"/>
      <c r="AG4" s="601"/>
      <c r="AH4" s="178"/>
      <c r="AI4" s="128"/>
      <c r="AJ4" s="128"/>
      <c r="AK4" s="125"/>
      <c r="AL4" s="125"/>
      <c r="AM4" s="125"/>
      <c r="AN4" s="125"/>
    </row>
    <row r="5" spans="1:40" ht="16" customHeight="1">
      <c r="A5" s="125"/>
      <c r="B5" s="125"/>
      <c r="C5" s="195"/>
      <c r="D5" s="125"/>
      <c r="E5" s="125"/>
      <c r="F5" s="125"/>
      <c r="G5" s="125"/>
      <c r="H5" s="125"/>
      <c r="I5" s="178"/>
      <c r="J5" s="195"/>
      <c r="K5" s="195"/>
      <c r="L5" s="564"/>
      <c r="M5" s="178"/>
      <c r="N5" s="178"/>
      <c r="O5" s="569"/>
      <c r="P5" s="555"/>
      <c r="Q5" s="554"/>
      <c r="R5" s="574"/>
      <c r="S5" s="579"/>
      <c r="T5" s="129"/>
      <c r="U5" s="569"/>
      <c r="V5" s="128"/>
      <c r="W5" s="210"/>
      <c r="X5" s="131"/>
      <c r="Y5" s="168"/>
      <c r="Z5" s="168"/>
      <c r="AA5" s="130"/>
      <c r="AB5" s="221"/>
      <c r="AC5" s="169"/>
      <c r="AF5" s="601"/>
      <c r="AG5" s="601"/>
      <c r="AH5" s="178"/>
      <c r="AI5" s="128"/>
      <c r="AJ5" s="128"/>
      <c r="AK5" s="125"/>
      <c r="AL5" s="125"/>
      <c r="AM5" s="125"/>
      <c r="AN5" s="125"/>
    </row>
    <row r="6" spans="1:40" s="2" customFormat="1" ht="37" customHeight="1" thickBot="1">
      <c r="A6" s="2" t="s">
        <v>2568</v>
      </c>
      <c r="B6" s="2" t="s">
        <v>1351</v>
      </c>
      <c r="C6" s="2" t="s">
        <v>2446</v>
      </c>
      <c r="D6" s="6" t="s">
        <v>4</v>
      </c>
      <c r="E6" s="6" t="s">
        <v>2465</v>
      </c>
      <c r="F6" s="6" t="s">
        <v>5</v>
      </c>
      <c r="G6" s="6" t="s">
        <v>6</v>
      </c>
      <c r="H6" s="6" t="s">
        <v>8</v>
      </c>
      <c r="I6" s="589" t="s">
        <v>2633</v>
      </c>
      <c r="J6" s="203" t="s">
        <v>2565</v>
      </c>
      <c r="K6" s="556" t="s">
        <v>2630</v>
      </c>
      <c r="L6" s="566" t="s">
        <v>2629</v>
      </c>
      <c r="M6" s="204"/>
      <c r="N6" s="204"/>
      <c r="O6" s="205" t="s">
        <v>9</v>
      </c>
      <c r="P6" s="208" t="s">
        <v>10</v>
      </c>
      <c r="Q6" s="211" t="s">
        <v>205</v>
      </c>
      <c r="R6" s="575" t="s">
        <v>11</v>
      </c>
      <c r="S6" s="581" t="s">
        <v>10</v>
      </c>
      <c r="U6" s="577" t="s">
        <v>9</v>
      </c>
      <c r="V6" s="217" t="s">
        <v>10</v>
      </c>
      <c r="W6" s="218" t="s">
        <v>205</v>
      </c>
      <c r="Y6" s="206" t="s">
        <v>12</v>
      </c>
      <c r="Z6" s="204"/>
      <c r="AA6" s="2" t="s">
        <v>1352</v>
      </c>
      <c r="AB6" s="222" t="s">
        <v>15</v>
      </c>
      <c r="AC6" s="207" t="s">
        <v>1435</v>
      </c>
      <c r="AD6" s="2" t="s">
        <v>1412</v>
      </c>
      <c r="AF6" s="206" t="s">
        <v>9</v>
      </c>
      <c r="AG6" s="602" t="s">
        <v>10</v>
      </c>
      <c r="AH6" s="204"/>
      <c r="AI6" s="206" t="s">
        <v>9</v>
      </c>
      <c r="AJ6" s="208" t="s">
        <v>10</v>
      </c>
      <c r="AK6" s="6" t="s">
        <v>16</v>
      </c>
      <c r="AL6" s="2" t="s">
        <v>16</v>
      </c>
      <c r="AM6" s="2" t="s">
        <v>17</v>
      </c>
      <c r="AN6" s="2" t="s">
        <v>16</v>
      </c>
    </row>
    <row r="7" spans="1:40" customFormat="1" ht="18" customHeight="1">
      <c r="A7">
        <v>1</v>
      </c>
      <c r="B7" t="s">
        <v>908</v>
      </c>
      <c r="C7" t="s">
        <v>977</v>
      </c>
      <c r="D7" t="s">
        <v>2469</v>
      </c>
      <c r="E7" t="s">
        <v>2451</v>
      </c>
      <c r="F7" t="s">
        <v>2055</v>
      </c>
      <c r="G7">
        <v>2022</v>
      </c>
      <c r="H7" t="s">
        <v>27</v>
      </c>
      <c r="K7" t="s">
        <v>1616</v>
      </c>
      <c r="L7" t="s">
        <v>1620</v>
      </c>
      <c r="M7" t="s">
        <v>1618</v>
      </c>
      <c r="N7" t="s">
        <v>1621</v>
      </c>
      <c r="O7">
        <v>-5.2</v>
      </c>
      <c r="P7">
        <v>9.6999999999999993</v>
      </c>
      <c r="Q7">
        <v>30</v>
      </c>
      <c r="R7">
        <v>741</v>
      </c>
      <c r="S7" t="s">
        <v>1619</v>
      </c>
      <c r="U7">
        <v>4</v>
      </c>
      <c r="V7">
        <v>9.5</v>
      </c>
      <c r="W7">
        <v>54</v>
      </c>
      <c r="X7">
        <v>54</v>
      </c>
      <c r="Y7">
        <v>0.41</v>
      </c>
      <c r="AA7">
        <v>-1</v>
      </c>
      <c r="AB7">
        <v>-0.96</v>
      </c>
      <c r="AD7">
        <v>0</v>
      </c>
      <c r="AF7" t="s">
        <v>1149</v>
      </c>
    </row>
    <row r="8" spans="1:40" customFormat="1" ht="18" customHeight="1">
      <c r="A8">
        <v>2</v>
      </c>
      <c r="B8" t="s">
        <v>1353</v>
      </c>
      <c r="C8" t="s">
        <v>977</v>
      </c>
      <c r="D8" t="s">
        <v>2469</v>
      </c>
      <c r="E8" t="s">
        <v>2451</v>
      </c>
      <c r="F8" t="s">
        <v>1394</v>
      </c>
      <c r="G8">
        <v>2004</v>
      </c>
      <c r="H8" t="s">
        <v>1207</v>
      </c>
      <c r="K8" t="s">
        <v>1214</v>
      </c>
      <c r="O8">
        <v>76.400000000000006</v>
      </c>
      <c r="P8">
        <v>10.63</v>
      </c>
      <c r="Q8">
        <v>14</v>
      </c>
      <c r="R8" s="716">
        <v>491</v>
      </c>
      <c r="S8" s="716">
        <v>149</v>
      </c>
      <c r="U8">
        <v>76.5</v>
      </c>
      <c r="V8">
        <v>14.87</v>
      </c>
      <c r="W8">
        <v>14</v>
      </c>
      <c r="AA8">
        <v>-1</v>
      </c>
      <c r="AB8">
        <v>-0.01</v>
      </c>
      <c r="AD8">
        <v>0</v>
      </c>
      <c r="AF8">
        <v>10.8</v>
      </c>
      <c r="AG8">
        <v>1.25</v>
      </c>
      <c r="AI8">
        <v>10.9</v>
      </c>
      <c r="AJ8">
        <v>1.3</v>
      </c>
    </row>
    <row r="9" spans="1:40" customFormat="1" ht="18" customHeight="1">
      <c r="A9">
        <v>3</v>
      </c>
      <c r="B9" t="s">
        <v>1353</v>
      </c>
      <c r="C9" t="s">
        <v>977</v>
      </c>
      <c r="D9" t="s">
        <v>2469</v>
      </c>
      <c r="E9" t="s">
        <v>2451</v>
      </c>
      <c r="F9" t="s">
        <v>1394</v>
      </c>
      <c r="G9">
        <v>2004</v>
      </c>
      <c r="H9" t="s">
        <v>1207</v>
      </c>
      <c r="K9" t="s">
        <v>1215</v>
      </c>
      <c r="O9">
        <v>31.7</v>
      </c>
      <c r="P9">
        <v>19.29</v>
      </c>
      <c r="Q9">
        <v>14</v>
      </c>
      <c r="R9" s="716">
        <v>491</v>
      </c>
      <c r="S9" s="716">
        <v>149</v>
      </c>
      <c r="U9">
        <v>17.2</v>
      </c>
      <c r="V9">
        <v>6.64</v>
      </c>
      <c r="W9">
        <v>14</v>
      </c>
      <c r="AA9">
        <v>1</v>
      </c>
      <c r="AB9">
        <v>-2.13</v>
      </c>
      <c r="AD9">
        <v>0</v>
      </c>
      <c r="AF9">
        <v>10.8</v>
      </c>
      <c r="AG9">
        <v>1.25</v>
      </c>
      <c r="AI9">
        <v>10.9</v>
      </c>
      <c r="AJ9">
        <v>1.3</v>
      </c>
    </row>
    <row r="10" spans="1:40" customFormat="1" ht="18" customHeight="1">
      <c r="A10">
        <v>4</v>
      </c>
      <c r="B10" t="s">
        <v>1353</v>
      </c>
      <c r="C10" t="s">
        <v>977</v>
      </c>
      <c r="D10" t="s">
        <v>2469</v>
      </c>
      <c r="E10" t="s">
        <v>2451</v>
      </c>
      <c r="F10" t="s">
        <v>1394</v>
      </c>
      <c r="G10">
        <v>2004</v>
      </c>
      <c r="H10" t="s">
        <v>1207</v>
      </c>
      <c r="K10" t="s">
        <v>1216</v>
      </c>
      <c r="O10">
        <v>20.9</v>
      </c>
      <c r="P10">
        <v>14.22</v>
      </c>
      <c r="Q10">
        <v>14</v>
      </c>
      <c r="R10" s="716">
        <v>491</v>
      </c>
      <c r="S10" s="716">
        <v>149</v>
      </c>
      <c r="U10">
        <v>9.3000000000000007</v>
      </c>
      <c r="V10">
        <v>3.42</v>
      </c>
      <c r="W10">
        <v>14</v>
      </c>
      <c r="AA10">
        <v>1</v>
      </c>
      <c r="AB10">
        <v>-3.3</v>
      </c>
      <c r="AD10">
        <v>0</v>
      </c>
      <c r="AF10">
        <v>10.8</v>
      </c>
      <c r="AG10">
        <v>1.25</v>
      </c>
      <c r="AI10">
        <v>10.9</v>
      </c>
      <c r="AJ10">
        <v>1.3</v>
      </c>
    </row>
    <row r="11" spans="1:40" customFormat="1" ht="18" customHeight="1">
      <c r="A11">
        <v>5</v>
      </c>
      <c r="B11" t="s">
        <v>1353</v>
      </c>
      <c r="C11" t="s">
        <v>977</v>
      </c>
      <c r="D11" t="s">
        <v>2469</v>
      </c>
      <c r="E11" t="s">
        <v>2451</v>
      </c>
      <c r="F11" t="s">
        <v>1394</v>
      </c>
      <c r="G11">
        <v>2004</v>
      </c>
      <c r="H11" t="s">
        <v>1207</v>
      </c>
      <c r="K11" t="s">
        <v>2576</v>
      </c>
      <c r="O11">
        <v>14</v>
      </c>
      <c r="P11">
        <v>11.74</v>
      </c>
      <c r="Q11">
        <v>14</v>
      </c>
      <c r="R11" s="716">
        <v>491</v>
      </c>
      <c r="S11" s="716">
        <v>149</v>
      </c>
      <c r="U11">
        <v>9.5</v>
      </c>
      <c r="V11">
        <v>5.91</v>
      </c>
      <c r="W11">
        <v>14</v>
      </c>
      <c r="AA11">
        <v>1</v>
      </c>
      <c r="AB11">
        <v>-0.75</v>
      </c>
      <c r="AD11">
        <v>0</v>
      </c>
      <c r="AF11">
        <v>10.8</v>
      </c>
      <c r="AG11">
        <v>1.25</v>
      </c>
      <c r="AI11">
        <v>10.9</v>
      </c>
      <c r="AJ11">
        <v>1.3</v>
      </c>
    </row>
    <row r="12" spans="1:40" customFormat="1" ht="18" customHeight="1">
      <c r="A12">
        <v>6</v>
      </c>
      <c r="B12" t="s">
        <v>1353</v>
      </c>
      <c r="C12" t="s">
        <v>977</v>
      </c>
      <c r="D12" t="s">
        <v>2469</v>
      </c>
      <c r="E12" t="s">
        <v>2451</v>
      </c>
      <c r="F12" t="s">
        <v>1394</v>
      </c>
      <c r="G12">
        <v>2004</v>
      </c>
      <c r="H12" t="s">
        <v>1207</v>
      </c>
      <c r="K12" t="s">
        <v>1217</v>
      </c>
      <c r="O12">
        <v>64.400000000000006</v>
      </c>
      <c r="P12">
        <v>16.809999999999999</v>
      </c>
      <c r="Q12">
        <v>14</v>
      </c>
      <c r="R12" s="716">
        <v>491</v>
      </c>
      <c r="S12" s="716">
        <v>149</v>
      </c>
      <c r="U12">
        <v>76.3</v>
      </c>
      <c r="V12">
        <v>7.11</v>
      </c>
      <c r="W12">
        <v>14</v>
      </c>
      <c r="AA12">
        <v>-1</v>
      </c>
      <c r="AB12">
        <v>-1.63</v>
      </c>
      <c r="AD12">
        <v>0</v>
      </c>
      <c r="AF12">
        <v>10.8</v>
      </c>
      <c r="AG12">
        <v>1.25</v>
      </c>
      <c r="AI12">
        <v>10.9</v>
      </c>
      <c r="AJ12">
        <v>1.3</v>
      </c>
    </row>
    <row r="13" spans="1:40" customFormat="1" ht="18" customHeight="1">
      <c r="A13">
        <v>7</v>
      </c>
      <c r="B13" t="s">
        <v>1353</v>
      </c>
      <c r="C13" t="s">
        <v>977</v>
      </c>
      <c r="D13" t="s">
        <v>2469</v>
      </c>
      <c r="E13" t="s">
        <v>2451</v>
      </c>
      <c r="F13" t="s">
        <v>1394</v>
      </c>
      <c r="G13">
        <v>2004</v>
      </c>
      <c r="H13" t="s">
        <v>1207</v>
      </c>
      <c r="K13" t="s">
        <v>1219</v>
      </c>
      <c r="O13">
        <v>16.7</v>
      </c>
      <c r="P13">
        <v>9.7200000000000006</v>
      </c>
      <c r="Q13">
        <v>14</v>
      </c>
      <c r="R13" s="716">
        <v>491</v>
      </c>
      <c r="S13" s="716">
        <v>149</v>
      </c>
      <c r="U13">
        <v>11.4</v>
      </c>
      <c r="V13">
        <v>2.1</v>
      </c>
      <c r="W13">
        <v>14</v>
      </c>
      <c r="AA13">
        <v>1</v>
      </c>
      <c r="AB13">
        <v>-2.46</v>
      </c>
      <c r="AD13">
        <v>0</v>
      </c>
      <c r="AF13">
        <v>10.8</v>
      </c>
      <c r="AG13">
        <v>1.25</v>
      </c>
      <c r="AI13">
        <v>10.9</v>
      </c>
      <c r="AJ13">
        <v>1.3</v>
      </c>
    </row>
    <row r="14" spans="1:40" customFormat="1" ht="18" customHeight="1">
      <c r="A14">
        <v>8</v>
      </c>
      <c r="B14" t="s">
        <v>1353</v>
      </c>
      <c r="C14" t="s">
        <v>977</v>
      </c>
      <c r="D14" t="s">
        <v>2469</v>
      </c>
      <c r="E14" t="s">
        <v>2451</v>
      </c>
      <c r="F14" t="s">
        <v>1394</v>
      </c>
      <c r="G14">
        <v>2004</v>
      </c>
      <c r="H14" t="s">
        <v>1207</v>
      </c>
      <c r="K14" t="s">
        <v>1220</v>
      </c>
      <c r="O14">
        <v>1.5</v>
      </c>
      <c r="P14">
        <v>1.87</v>
      </c>
      <c r="Q14">
        <v>14</v>
      </c>
      <c r="R14" s="716">
        <v>491</v>
      </c>
      <c r="S14" s="716">
        <v>149</v>
      </c>
      <c r="U14">
        <v>0.6</v>
      </c>
      <c r="V14">
        <v>1.04</v>
      </c>
      <c r="W14">
        <v>14</v>
      </c>
      <c r="AA14">
        <v>1</v>
      </c>
      <c r="AB14">
        <v>-0.83</v>
      </c>
      <c r="AD14">
        <v>0</v>
      </c>
      <c r="AF14">
        <v>10.8</v>
      </c>
      <c r="AG14">
        <v>1.25</v>
      </c>
      <c r="AI14">
        <v>10.9</v>
      </c>
      <c r="AJ14">
        <v>1.3</v>
      </c>
    </row>
    <row r="15" spans="1:40" customFormat="1" ht="18" customHeight="1">
      <c r="A15">
        <v>9</v>
      </c>
      <c r="B15" t="s">
        <v>1353</v>
      </c>
      <c r="C15" t="s">
        <v>977</v>
      </c>
      <c r="D15" t="s">
        <v>2469</v>
      </c>
      <c r="E15" t="s">
        <v>2451</v>
      </c>
      <c r="F15" t="s">
        <v>1394</v>
      </c>
      <c r="G15">
        <v>2004</v>
      </c>
      <c r="H15" t="s">
        <v>1207</v>
      </c>
      <c r="K15" t="s">
        <v>1221</v>
      </c>
      <c r="O15">
        <v>3.5</v>
      </c>
      <c r="P15">
        <v>20.12</v>
      </c>
      <c r="Q15">
        <v>14</v>
      </c>
      <c r="R15" s="716">
        <v>491</v>
      </c>
      <c r="S15" s="716">
        <v>149</v>
      </c>
      <c r="U15">
        <v>3</v>
      </c>
      <c r="V15">
        <v>13.57</v>
      </c>
      <c r="W15">
        <v>14</v>
      </c>
      <c r="AA15">
        <v>1</v>
      </c>
      <c r="AB15">
        <v>-0.03</v>
      </c>
      <c r="AD15">
        <v>0</v>
      </c>
      <c r="AF15">
        <v>10.8</v>
      </c>
      <c r="AG15">
        <v>1.25</v>
      </c>
      <c r="AI15">
        <v>10.9</v>
      </c>
      <c r="AJ15">
        <v>1.3</v>
      </c>
    </row>
    <row r="16" spans="1:40" customFormat="1" ht="18" customHeight="1">
      <c r="A16">
        <v>10</v>
      </c>
      <c r="B16" t="s">
        <v>1353</v>
      </c>
      <c r="C16" t="s">
        <v>977</v>
      </c>
      <c r="D16" t="s">
        <v>2469</v>
      </c>
      <c r="E16" t="s">
        <v>2451</v>
      </c>
      <c r="F16" t="s">
        <v>1394</v>
      </c>
      <c r="G16">
        <v>2004</v>
      </c>
      <c r="H16" t="s">
        <v>1207</v>
      </c>
      <c r="K16" t="s">
        <v>1213</v>
      </c>
      <c r="O16">
        <v>108.1</v>
      </c>
      <c r="P16">
        <v>20.47</v>
      </c>
      <c r="Q16">
        <v>14</v>
      </c>
      <c r="R16" s="716">
        <v>491</v>
      </c>
      <c r="S16" s="716">
        <v>149</v>
      </c>
      <c r="U16">
        <v>93.7</v>
      </c>
      <c r="V16">
        <v>19.37</v>
      </c>
      <c r="W16">
        <v>14</v>
      </c>
      <c r="AA16">
        <v>-1</v>
      </c>
      <c r="AB16">
        <v>0.72</v>
      </c>
      <c r="AD16">
        <v>0</v>
      </c>
      <c r="AF16">
        <v>10.8</v>
      </c>
      <c r="AG16">
        <v>1.25</v>
      </c>
      <c r="AI16">
        <v>10.9</v>
      </c>
      <c r="AJ16">
        <v>1.3</v>
      </c>
    </row>
    <row r="17" spans="1:40" customFormat="1" ht="18" customHeight="1">
      <c r="A17">
        <v>11</v>
      </c>
      <c r="B17" t="s">
        <v>1553</v>
      </c>
      <c r="C17" t="s">
        <v>977</v>
      </c>
      <c r="D17" t="s">
        <v>2469</v>
      </c>
      <c r="E17" t="s">
        <v>2451</v>
      </c>
      <c r="F17" t="s">
        <v>1502</v>
      </c>
      <c r="G17">
        <v>2001</v>
      </c>
      <c r="H17" t="s">
        <v>1207</v>
      </c>
      <c r="K17" t="s">
        <v>336</v>
      </c>
      <c r="M17" t="s">
        <v>1136</v>
      </c>
      <c r="O17">
        <v>8.1</v>
      </c>
      <c r="P17">
        <v>2</v>
      </c>
      <c r="Q17">
        <v>18</v>
      </c>
      <c r="R17" s="716" t="s">
        <v>1149</v>
      </c>
      <c r="S17" s="716"/>
      <c r="U17">
        <v>8</v>
      </c>
      <c r="V17">
        <v>2.5</v>
      </c>
      <c r="W17">
        <v>16</v>
      </c>
      <c r="AA17">
        <v>-1</v>
      </c>
      <c r="AB17">
        <v>0.04</v>
      </c>
      <c r="AC17">
        <v>0.1</v>
      </c>
      <c r="AD17">
        <v>0</v>
      </c>
      <c r="AF17">
        <v>17.88</v>
      </c>
      <c r="AG17">
        <v>2.74</v>
      </c>
      <c r="AI17">
        <v>16.32</v>
      </c>
      <c r="AJ17">
        <v>2.92</v>
      </c>
    </row>
    <row r="18" spans="1:40" customFormat="1" ht="18" customHeight="1">
      <c r="A18">
        <v>12</v>
      </c>
      <c r="B18" t="s">
        <v>1553</v>
      </c>
      <c r="C18" t="s">
        <v>977</v>
      </c>
      <c r="D18" t="s">
        <v>2469</v>
      </c>
      <c r="E18" t="s">
        <v>2451</v>
      </c>
      <c r="F18" t="s">
        <v>1502</v>
      </c>
      <c r="G18">
        <v>2001</v>
      </c>
      <c r="H18" t="s">
        <v>1207</v>
      </c>
      <c r="K18" t="s">
        <v>2577</v>
      </c>
      <c r="L18" t="s">
        <v>1167</v>
      </c>
      <c r="M18" t="s">
        <v>1136</v>
      </c>
      <c r="O18">
        <v>4.4000000000000004</v>
      </c>
      <c r="P18">
        <v>7.9</v>
      </c>
      <c r="Q18">
        <v>18</v>
      </c>
      <c r="R18" s="716" t="s">
        <v>1149</v>
      </c>
      <c r="S18" s="716"/>
      <c r="U18">
        <v>0.5</v>
      </c>
      <c r="V18">
        <v>0.8</v>
      </c>
      <c r="W18">
        <v>16</v>
      </c>
      <c r="AA18">
        <v>1</v>
      </c>
      <c r="AB18">
        <v>-4.76</v>
      </c>
      <c r="AD18">
        <v>0</v>
      </c>
      <c r="AF18">
        <v>17.88</v>
      </c>
      <c r="AG18">
        <v>2.74</v>
      </c>
      <c r="AI18">
        <v>16.32</v>
      </c>
      <c r="AJ18">
        <v>2.92</v>
      </c>
    </row>
    <row r="19" spans="1:40" customFormat="1" ht="18" customHeight="1">
      <c r="A19">
        <v>13</v>
      </c>
      <c r="B19" t="s">
        <v>1553</v>
      </c>
      <c r="C19" t="s">
        <v>977</v>
      </c>
      <c r="D19" t="s">
        <v>2469</v>
      </c>
      <c r="E19" t="s">
        <v>2451</v>
      </c>
      <c r="F19" t="s">
        <v>1502</v>
      </c>
      <c r="G19">
        <v>2001</v>
      </c>
      <c r="H19" t="s">
        <v>1207</v>
      </c>
      <c r="K19" t="s">
        <v>331</v>
      </c>
      <c r="L19" t="s">
        <v>1167</v>
      </c>
      <c r="M19" t="s">
        <v>1136</v>
      </c>
      <c r="O19">
        <v>10.5</v>
      </c>
      <c r="P19">
        <v>7.6</v>
      </c>
      <c r="Q19">
        <v>18</v>
      </c>
      <c r="R19" s="716" t="s">
        <v>1149</v>
      </c>
      <c r="S19" s="716"/>
      <c r="U19">
        <v>7.3</v>
      </c>
      <c r="V19">
        <v>2.1</v>
      </c>
      <c r="W19">
        <v>16</v>
      </c>
      <c r="AA19">
        <v>1</v>
      </c>
      <c r="AB19">
        <v>-1.49</v>
      </c>
      <c r="AC19">
        <v>0.86</v>
      </c>
      <c r="AD19">
        <v>0</v>
      </c>
      <c r="AF19">
        <v>17.88</v>
      </c>
      <c r="AG19">
        <v>2.74</v>
      </c>
      <c r="AI19">
        <v>16.32</v>
      </c>
      <c r="AJ19">
        <v>2.92</v>
      </c>
    </row>
    <row r="20" spans="1:40" customFormat="1" ht="18" customHeight="1">
      <c r="A20">
        <v>14</v>
      </c>
      <c r="B20" t="s">
        <v>1553</v>
      </c>
      <c r="C20" t="s">
        <v>977</v>
      </c>
      <c r="D20" t="s">
        <v>2469</v>
      </c>
      <c r="E20" t="s">
        <v>2451</v>
      </c>
      <c r="F20" t="s">
        <v>1502</v>
      </c>
      <c r="G20">
        <v>2001</v>
      </c>
      <c r="H20" t="s">
        <v>1207</v>
      </c>
      <c r="K20" t="s">
        <v>2578</v>
      </c>
      <c r="L20" t="s">
        <v>1168</v>
      </c>
      <c r="M20" t="s">
        <v>1136</v>
      </c>
      <c r="O20">
        <v>5.5</v>
      </c>
      <c r="P20">
        <v>7.9</v>
      </c>
      <c r="Q20">
        <v>18</v>
      </c>
      <c r="R20" s="716" t="s">
        <v>1149</v>
      </c>
      <c r="S20" s="716"/>
      <c r="U20">
        <v>7.2</v>
      </c>
      <c r="V20">
        <v>9.6</v>
      </c>
      <c r="W20">
        <v>16</v>
      </c>
      <c r="AA20">
        <v>1</v>
      </c>
      <c r="AB20">
        <v>0.17</v>
      </c>
      <c r="AC20">
        <v>0.1</v>
      </c>
      <c r="AD20">
        <v>0</v>
      </c>
      <c r="AF20">
        <v>17.88</v>
      </c>
      <c r="AG20">
        <v>2.74</v>
      </c>
      <c r="AI20">
        <v>16.32</v>
      </c>
      <c r="AJ20">
        <v>2.92</v>
      </c>
    </row>
    <row r="21" spans="1:40" customFormat="1" ht="18" customHeight="1">
      <c r="A21">
        <v>15</v>
      </c>
      <c r="B21" t="s">
        <v>1553</v>
      </c>
      <c r="C21" t="s">
        <v>977</v>
      </c>
      <c r="D21" t="s">
        <v>2469</v>
      </c>
      <c r="E21" t="s">
        <v>2451</v>
      </c>
      <c r="F21" t="s">
        <v>1502</v>
      </c>
      <c r="G21">
        <v>2001</v>
      </c>
      <c r="H21" t="s">
        <v>1207</v>
      </c>
      <c r="K21" t="s">
        <v>333</v>
      </c>
      <c r="L21" t="s">
        <v>1168</v>
      </c>
      <c r="M21" t="s">
        <v>1136</v>
      </c>
      <c r="O21">
        <v>13.3</v>
      </c>
      <c r="P21">
        <v>10.6</v>
      </c>
      <c r="Q21">
        <v>18</v>
      </c>
      <c r="R21" s="716" t="s">
        <v>1149</v>
      </c>
      <c r="S21" s="716"/>
      <c r="U21">
        <v>11.7</v>
      </c>
      <c r="V21">
        <v>6.5</v>
      </c>
      <c r="W21">
        <v>16</v>
      </c>
      <c r="AA21">
        <v>1</v>
      </c>
      <c r="AB21">
        <v>-0.24</v>
      </c>
      <c r="AC21">
        <v>0.21</v>
      </c>
      <c r="AD21">
        <v>0</v>
      </c>
      <c r="AF21">
        <v>17.88</v>
      </c>
      <c r="AG21">
        <v>2.74</v>
      </c>
      <c r="AI21">
        <v>16.32</v>
      </c>
      <c r="AJ21">
        <v>2.92</v>
      </c>
    </row>
    <row r="22" spans="1:40" customFormat="1" ht="18" customHeight="1">
      <c r="A22">
        <v>16</v>
      </c>
      <c r="B22" t="s">
        <v>1553</v>
      </c>
      <c r="C22" t="s">
        <v>977</v>
      </c>
      <c r="D22" t="s">
        <v>2469</v>
      </c>
      <c r="E22" t="s">
        <v>2451</v>
      </c>
      <c r="F22" t="s">
        <v>1502</v>
      </c>
      <c r="G22">
        <v>2001</v>
      </c>
      <c r="H22" t="s">
        <v>1207</v>
      </c>
      <c r="K22" t="s">
        <v>2579</v>
      </c>
      <c r="M22" t="s">
        <v>1136</v>
      </c>
      <c r="O22">
        <v>5.8</v>
      </c>
      <c r="P22">
        <v>2.8</v>
      </c>
      <c r="Q22">
        <v>18</v>
      </c>
      <c r="R22" s="716" t="s">
        <v>1149</v>
      </c>
      <c r="S22" s="716"/>
      <c r="U22">
        <v>8.1999999999999993</v>
      </c>
      <c r="V22">
        <v>7.9</v>
      </c>
      <c r="W22">
        <v>16</v>
      </c>
      <c r="AA22">
        <v>1</v>
      </c>
      <c r="AB22">
        <v>0.3</v>
      </c>
      <c r="AC22">
        <v>7.0000000000000007E-2</v>
      </c>
      <c r="AD22">
        <v>0</v>
      </c>
      <c r="AF22">
        <v>17.88</v>
      </c>
      <c r="AG22">
        <v>2.74</v>
      </c>
      <c r="AI22">
        <v>16.32</v>
      </c>
      <c r="AJ22">
        <v>2.92</v>
      </c>
    </row>
    <row r="23" spans="1:40" customFormat="1" ht="18" customHeight="1">
      <c r="A23">
        <v>17</v>
      </c>
      <c r="R23" s="716"/>
      <c r="S23" s="716"/>
      <c r="AD23">
        <v>0</v>
      </c>
    </row>
    <row r="24" spans="1:40" customFormat="1" ht="18" customHeight="1">
      <c r="A24">
        <v>18</v>
      </c>
      <c r="B24" t="s">
        <v>908</v>
      </c>
      <c r="C24" t="s">
        <v>977</v>
      </c>
      <c r="D24" t="s">
        <v>2469</v>
      </c>
      <c r="E24" t="s">
        <v>2451</v>
      </c>
      <c r="F24" t="s">
        <v>21</v>
      </c>
      <c r="G24">
        <v>2021</v>
      </c>
      <c r="H24" t="s">
        <v>2020</v>
      </c>
      <c r="K24" t="s">
        <v>28</v>
      </c>
      <c r="N24" t="s">
        <v>640</v>
      </c>
      <c r="O24">
        <v>-0.6</v>
      </c>
      <c r="P24">
        <v>1.29</v>
      </c>
      <c r="Q24">
        <v>152</v>
      </c>
      <c r="R24" s="716">
        <v>908</v>
      </c>
      <c r="S24" s="716"/>
      <c r="U24">
        <v>0</v>
      </c>
      <c r="V24">
        <v>1</v>
      </c>
      <c r="W24">
        <v>77</v>
      </c>
      <c r="AA24">
        <v>1</v>
      </c>
      <c r="AB24">
        <v>-0.61</v>
      </c>
      <c r="AC24">
        <v>1.29</v>
      </c>
      <c r="AD24">
        <v>1</v>
      </c>
      <c r="AH24" t="s">
        <v>24</v>
      </c>
      <c r="AK24">
        <v>1</v>
      </c>
    </row>
    <row r="25" spans="1:40" customFormat="1" ht="18" customHeight="1">
      <c r="A25">
        <v>19</v>
      </c>
      <c r="B25" t="s">
        <v>908</v>
      </c>
      <c r="C25" t="s">
        <v>977</v>
      </c>
      <c r="D25" t="s">
        <v>2469</v>
      </c>
      <c r="E25" t="s">
        <v>2451</v>
      </c>
      <c r="F25" t="s">
        <v>2710</v>
      </c>
      <c r="G25">
        <v>2017</v>
      </c>
      <c r="H25" t="s">
        <v>2020</v>
      </c>
      <c r="K25" t="s">
        <v>2602</v>
      </c>
      <c r="O25">
        <v>37.299999999999997</v>
      </c>
      <c r="P25">
        <v>11.3</v>
      </c>
      <c r="Q25">
        <v>37</v>
      </c>
      <c r="R25" s="716">
        <v>720</v>
      </c>
      <c r="S25" s="716"/>
      <c r="U25">
        <v>27.1</v>
      </c>
      <c r="V25">
        <v>10.199999999999999</v>
      </c>
      <c r="W25">
        <v>30</v>
      </c>
      <c r="Y25">
        <v>-0.95</v>
      </c>
      <c r="AA25">
        <v>1</v>
      </c>
      <c r="AB25">
        <v>-0.99</v>
      </c>
      <c r="AD25">
        <v>1</v>
      </c>
      <c r="AK25">
        <v>1</v>
      </c>
      <c r="AL25" t="s">
        <v>48</v>
      </c>
      <c r="AM25" t="s">
        <v>32</v>
      </c>
      <c r="AN25" t="s">
        <v>41</v>
      </c>
    </row>
    <row r="26" spans="1:40" customFormat="1" ht="18" customHeight="1">
      <c r="A26">
        <v>20</v>
      </c>
      <c r="B26" t="s">
        <v>908</v>
      </c>
      <c r="C26" t="s">
        <v>977</v>
      </c>
      <c r="D26" t="s">
        <v>2469</v>
      </c>
      <c r="E26" t="s">
        <v>2451</v>
      </c>
      <c r="F26" t="s">
        <v>54</v>
      </c>
      <c r="G26">
        <v>2020</v>
      </c>
      <c r="H26" t="s">
        <v>2020</v>
      </c>
      <c r="K26" t="s">
        <v>2602</v>
      </c>
      <c r="O26">
        <v>41.6</v>
      </c>
      <c r="P26">
        <v>12</v>
      </c>
      <c r="Q26">
        <v>19</v>
      </c>
      <c r="R26" s="716">
        <v>1042</v>
      </c>
      <c r="S26" s="716"/>
      <c r="U26">
        <v>39.4</v>
      </c>
      <c r="V26">
        <v>9.1</v>
      </c>
      <c r="W26">
        <v>19</v>
      </c>
      <c r="Y26">
        <v>-0.21</v>
      </c>
      <c r="AA26">
        <v>1</v>
      </c>
      <c r="AB26">
        <v>-0.24</v>
      </c>
      <c r="AD26">
        <v>1</v>
      </c>
      <c r="AK26">
        <v>1</v>
      </c>
      <c r="AL26" t="s">
        <v>48</v>
      </c>
      <c r="AM26" t="s">
        <v>32</v>
      </c>
      <c r="AN26" t="s">
        <v>41</v>
      </c>
    </row>
    <row r="27" spans="1:40" customFormat="1" ht="18" customHeight="1">
      <c r="A27">
        <v>21</v>
      </c>
      <c r="B27" t="s">
        <v>908</v>
      </c>
      <c r="C27" t="s">
        <v>977</v>
      </c>
      <c r="D27" t="s">
        <v>2469</v>
      </c>
      <c r="E27" t="s">
        <v>2451</v>
      </c>
      <c r="F27" t="s">
        <v>2478</v>
      </c>
      <c r="G27">
        <v>2023</v>
      </c>
      <c r="H27" t="s">
        <v>27</v>
      </c>
      <c r="K27" t="s">
        <v>613</v>
      </c>
      <c r="L27" t="s">
        <v>1624</v>
      </c>
      <c r="O27">
        <v>50.3</v>
      </c>
      <c r="P27">
        <v>12.58</v>
      </c>
      <c r="Q27">
        <v>20</v>
      </c>
      <c r="R27" s="716">
        <v>586</v>
      </c>
      <c r="S27" s="716">
        <v>420</v>
      </c>
      <c r="U27">
        <v>59.8</v>
      </c>
      <c r="V27">
        <v>4.6100000000000003</v>
      </c>
      <c r="W27">
        <v>20</v>
      </c>
      <c r="X27" t="s">
        <v>1149</v>
      </c>
      <c r="Y27">
        <v>0.4</v>
      </c>
      <c r="AA27">
        <v>-1</v>
      </c>
      <c r="AB27">
        <v>-2.02</v>
      </c>
      <c r="AD27">
        <v>0</v>
      </c>
      <c r="AF27" t="s">
        <v>1149</v>
      </c>
    </row>
    <row r="28" spans="1:40" customFormat="1" ht="18" customHeight="1">
      <c r="A28">
        <v>22</v>
      </c>
      <c r="B28" t="s">
        <v>908</v>
      </c>
      <c r="C28" t="s">
        <v>977</v>
      </c>
      <c r="D28" t="s">
        <v>2469</v>
      </c>
      <c r="E28" t="s">
        <v>2451</v>
      </c>
      <c r="F28" t="s">
        <v>2055</v>
      </c>
      <c r="G28">
        <v>2022</v>
      </c>
      <c r="H28" t="s">
        <v>27</v>
      </c>
      <c r="K28" t="s">
        <v>1616</v>
      </c>
      <c r="L28" t="s">
        <v>1617</v>
      </c>
      <c r="M28" t="s">
        <v>1618</v>
      </c>
      <c r="O28">
        <v>10</v>
      </c>
      <c r="P28">
        <v>3</v>
      </c>
      <c r="Q28">
        <v>30</v>
      </c>
      <c r="R28" s="716">
        <v>741</v>
      </c>
      <c r="S28" s="716" t="s">
        <v>1619</v>
      </c>
      <c r="U28">
        <v>12</v>
      </c>
      <c r="V28">
        <v>3</v>
      </c>
      <c r="W28">
        <v>54</v>
      </c>
      <c r="X28">
        <v>54</v>
      </c>
      <c r="Y28">
        <v>0.48</v>
      </c>
      <c r="AA28">
        <v>-1</v>
      </c>
      <c r="AB28">
        <v>-0.66</v>
      </c>
      <c r="AD28">
        <v>1</v>
      </c>
      <c r="AF28" t="s">
        <v>1149</v>
      </c>
    </row>
    <row r="29" spans="1:40" customFormat="1" ht="18" customHeight="1">
      <c r="A29">
        <v>23</v>
      </c>
      <c r="B29" t="s">
        <v>908</v>
      </c>
      <c r="C29" t="s">
        <v>977</v>
      </c>
      <c r="D29" t="s">
        <v>2469</v>
      </c>
      <c r="E29" t="s">
        <v>2451</v>
      </c>
      <c r="F29" t="s">
        <v>1847</v>
      </c>
      <c r="G29">
        <v>2023</v>
      </c>
      <c r="H29" t="s">
        <v>1739</v>
      </c>
      <c r="K29" t="s">
        <v>1690</v>
      </c>
      <c r="L29" t="s">
        <v>1636</v>
      </c>
      <c r="M29" t="s">
        <v>1637</v>
      </c>
      <c r="O29">
        <v>51</v>
      </c>
      <c r="P29">
        <v>10.5</v>
      </c>
      <c r="Q29">
        <v>40</v>
      </c>
      <c r="R29" s="716">
        <v>589</v>
      </c>
      <c r="S29" s="716">
        <v>444</v>
      </c>
      <c r="U29">
        <v>53</v>
      </c>
      <c r="V29">
        <v>11.3</v>
      </c>
      <c r="W29">
        <v>32</v>
      </c>
      <c r="X29">
        <v>32</v>
      </c>
      <c r="AA29">
        <v>-1</v>
      </c>
      <c r="AB29">
        <v>-0.18</v>
      </c>
      <c r="AC29">
        <v>-0.182155703</v>
      </c>
      <c r="AD29">
        <v>1</v>
      </c>
      <c r="AF29" t="s">
        <v>1149</v>
      </c>
    </row>
    <row r="30" spans="1:40" customFormat="1" ht="18" customHeight="1">
      <c r="A30">
        <v>24</v>
      </c>
      <c r="B30" t="s">
        <v>908</v>
      </c>
      <c r="C30" t="s">
        <v>977</v>
      </c>
      <c r="D30" t="s">
        <v>2469</v>
      </c>
      <c r="E30" t="s">
        <v>2451</v>
      </c>
      <c r="F30" t="s">
        <v>33</v>
      </c>
      <c r="G30">
        <v>2005</v>
      </c>
      <c r="H30" t="s">
        <v>2574</v>
      </c>
      <c r="I30" t="s">
        <v>961</v>
      </c>
      <c r="J30" t="s">
        <v>961</v>
      </c>
      <c r="K30" t="s">
        <v>2573</v>
      </c>
      <c r="O30">
        <v>66.5</v>
      </c>
      <c r="P30">
        <v>15.75</v>
      </c>
      <c r="Q30">
        <v>25</v>
      </c>
      <c r="R30" s="716">
        <v>759</v>
      </c>
      <c r="S30" s="716"/>
      <c r="U30">
        <v>67.599999999999994</v>
      </c>
      <c r="V30">
        <v>16.690000000000001</v>
      </c>
      <c r="W30">
        <v>25</v>
      </c>
      <c r="Y30">
        <v>7.0000000000000007E-2</v>
      </c>
      <c r="AA30">
        <v>-1</v>
      </c>
      <c r="AB30">
        <v>-7.0000000000000007E-2</v>
      </c>
      <c r="AD30">
        <v>1</v>
      </c>
      <c r="AK30">
        <v>2</v>
      </c>
      <c r="AL30" t="s">
        <v>31</v>
      </c>
      <c r="AM30" t="s">
        <v>32</v>
      </c>
      <c r="AN30" t="s">
        <v>31</v>
      </c>
    </row>
    <row r="31" spans="1:40" customFormat="1" ht="18" customHeight="1">
      <c r="A31">
        <v>25</v>
      </c>
      <c r="B31" t="s">
        <v>908</v>
      </c>
      <c r="C31" t="s">
        <v>977</v>
      </c>
      <c r="D31" t="s">
        <v>2469</v>
      </c>
      <c r="E31" t="s">
        <v>2451</v>
      </c>
      <c r="F31" t="s">
        <v>63</v>
      </c>
      <c r="G31">
        <v>2007</v>
      </c>
      <c r="H31" t="s">
        <v>2488</v>
      </c>
      <c r="K31" t="s">
        <v>2631</v>
      </c>
      <c r="O31">
        <v>60.2</v>
      </c>
      <c r="P31">
        <v>17.75</v>
      </c>
      <c r="Q31">
        <v>25</v>
      </c>
      <c r="R31" s="716">
        <v>1286</v>
      </c>
      <c r="S31" s="716"/>
      <c r="U31">
        <v>66</v>
      </c>
      <c r="V31">
        <v>16.399999999999999</v>
      </c>
      <c r="W31">
        <v>45</v>
      </c>
      <c r="Y31">
        <v>0.34</v>
      </c>
      <c r="AA31">
        <v>-1</v>
      </c>
      <c r="AB31">
        <v>-0.35</v>
      </c>
      <c r="AD31">
        <v>1</v>
      </c>
      <c r="AK31">
        <v>2</v>
      </c>
      <c r="AL31" t="s">
        <v>31</v>
      </c>
      <c r="AM31" t="s">
        <v>32</v>
      </c>
      <c r="AN31" t="s">
        <v>31</v>
      </c>
    </row>
    <row r="32" spans="1:40" customFormat="1" ht="18" customHeight="1">
      <c r="A32">
        <v>26</v>
      </c>
      <c r="B32" t="s">
        <v>908</v>
      </c>
      <c r="C32" t="s">
        <v>977</v>
      </c>
      <c r="D32" t="s">
        <v>2469</v>
      </c>
      <c r="E32" t="s">
        <v>2451</v>
      </c>
      <c r="F32" t="s">
        <v>33</v>
      </c>
      <c r="G32">
        <v>2005</v>
      </c>
      <c r="H32" t="s">
        <v>2574</v>
      </c>
      <c r="I32" t="s">
        <v>1419</v>
      </c>
      <c r="J32" t="s">
        <v>1419</v>
      </c>
      <c r="K32" t="s">
        <v>2575</v>
      </c>
      <c r="O32">
        <v>0.9</v>
      </c>
      <c r="P32">
        <v>0.3</v>
      </c>
      <c r="Q32">
        <v>25</v>
      </c>
      <c r="R32" s="716">
        <v>759</v>
      </c>
      <c r="S32" s="716"/>
      <c r="U32">
        <v>0.8</v>
      </c>
      <c r="V32">
        <v>0.42</v>
      </c>
      <c r="W32">
        <v>25</v>
      </c>
      <c r="Y32">
        <v>-0.3</v>
      </c>
      <c r="AA32">
        <v>1</v>
      </c>
      <c r="AB32">
        <v>-0.26</v>
      </c>
      <c r="AD32">
        <v>1</v>
      </c>
      <c r="AK32">
        <v>2</v>
      </c>
      <c r="AL32" t="s">
        <v>31</v>
      </c>
      <c r="AM32" t="s">
        <v>32</v>
      </c>
      <c r="AN32" t="s">
        <v>31</v>
      </c>
    </row>
    <row r="33" spans="1:40" customFormat="1" ht="18" customHeight="1">
      <c r="A33">
        <v>27</v>
      </c>
      <c r="B33" t="s">
        <v>908</v>
      </c>
      <c r="C33" t="s">
        <v>977</v>
      </c>
      <c r="D33" t="s">
        <v>2469</v>
      </c>
      <c r="E33" t="s">
        <v>2451</v>
      </c>
      <c r="F33" t="s">
        <v>63</v>
      </c>
      <c r="G33">
        <v>2007</v>
      </c>
      <c r="H33" t="s">
        <v>34</v>
      </c>
      <c r="K33" t="s">
        <v>36</v>
      </c>
      <c r="O33">
        <v>0.9</v>
      </c>
      <c r="P33">
        <v>0.35</v>
      </c>
      <c r="Q33">
        <v>25</v>
      </c>
      <c r="R33" s="716">
        <v>1286</v>
      </c>
      <c r="S33" s="716"/>
      <c r="U33">
        <v>0.8</v>
      </c>
      <c r="V33">
        <v>0.4</v>
      </c>
      <c r="W33">
        <v>45</v>
      </c>
      <c r="Y33">
        <v>-0.43</v>
      </c>
      <c r="AA33">
        <v>1</v>
      </c>
      <c r="AB33">
        <v>-0.4</v>
      </c>
      <c r="AD33">
        <v>1</v>
      </c>
      <c r="AK33">
        <v>2</v>
      </c>
      <c r="AL33" t="s">
        <v>31</v>
      </c>
      <c r="AM33" t="s">
        <v>32</v>
      </c>
      <c r="AN33" t="s">
        <v>31</v>
      </c>
    </row>
    <row r="34" spans="1:40" customFormat="1" ht="18" customHeight="1">
      <c r="A34">
        <v>28</v>
      </c>
      <c r="B34" t="s">
        <v>908</v>
      </c>
      <c r="C34" t="s">
        <v>977</v>
      </c>
      <c r="D34" t="s">
        <v>2469</v>
      </c>
      <c r="E34" t="s">
        <v>2451</v>
      </c>
      <c r="F34" t="s">
        <v>1847</v>
      </c>
      <c r="G34">
        <v>2023</v>
      </c>
      <c r="H34" t="s">
        <v>1717</v>
      </c>
      <c r="I34" t="s">
        <v>1419</v>
      </c>
      <c r="K34" t="s">
        <v>2632</v>
      </c>
      <c r="M34" t="s">
        <v>1637</v>
      </c>
      <c r="N34" t="s">
        <v>1718</v>
      </c>
      <c r="O34">
        <v>52</v>
      </c>
      <c r="P34">
        <v>8.4</v>
      </c>
      <c r="Q34">
        <v>40</v>
      </c>
      <c r="R34" s="716">
        <v>589</v>
      </c>
      <c r="S34" s="716">
        <v>444</v>
      </c>
      <c r="U34">
        <v>54</v>
      </c>
      <c r="V34">
        <v>5.2</v>
      </c>
      <c r="W34">
        <v>32</v>
      </c>
      <c r="X34" t="s">
        <v>1149</v>
      </c>
      <c r="AA34">
        <v>-1</v>
      </c>
      <c r="AB34">
        <v>-0.38</v>
      </c>
      <c r="AD34">
        <v>1</v>
      </c>
      <c r="AF34" t="s">
        <v>1149</v>
      </c>
    </row>
    <row r="35" spans="1:40" customFormat="1" ht="18" customHeight="1">
      <c r="A35">
        <v>29</v>
      </c>
      <c r="B35" t="s">
        <v>908</v>
      </c>
      <c r="C35" t="s">
        <v>977</v>
      </c>
      <c r="D35" t="s">
        <v>2469</v>
      </c>
      <c r="E35" t="s">
        <v>2451</v>
      </c>
      <c r="F35" t="s">
        <v>51</v>
      </c>
      <c r="G35">
        <v>2021</v>
      </c>
      <c r="H35" t="s">
        <v>1265</v>
      </c>
      <c r="K35" t="s">
        <v>52</v>
      </c>
      <c r="O35">
        <v>70</v>
      </c>
      <c r="P35">
        <v>25.63</v>
      </c>
      <c r="Q35">
        <v>19</v>
      </c>
      <c r="R35" s="716">
        <v>890</v>
      </c>
      <c r="S35" s="716"/>
      <c r="U35">
        <v>41</v>
      </c>
      <c r="V35">
        <v>11</v>
      </c>
      <c r="W35">
        <v>25</v>
      </c>
      <c r="Y35">
        <v>-1.47</v>
      </c>
      <c r="AA35">
        <v>1</v>
      </c>
      <c r="AB35">
        <v>-2.59</v>
      </c>
      <c r="AD35">
        <v>1</v>
      </c>
      <c r="AK35">
        <v>2</v>
      </c>
      <c r="AM35" t="s">
        <v>32</v>
      </c>
      <c r="AN35" t="s">
        <v>31</v>
      </c>
    </row>
    <row r="36" spans="1:40" customFormat="1" ht="18" customHeight="1">
      <c r="A36">
        <v>30</v>
      </c>
      <c r="B36" t="s">
        <v>908</v>
      </c>
      <c r="C36" t="s">
        <v>977</v>
      </c>
      <c r="D36" t="s">
        <v>2469</v>
      </c>
      <c r="E36" t="s">
        <v>2451</v>
      </c>
      <c r="F36" t="s">
        <v>54</v>
      </c>
      <c r="G36">
        <v>2020</v>
      </c>
      <c r="H36" t="s">
        <v>1265</v>
      </c>
      <c r="K36" t="s">
        <v>52</v>
      </c>
      <c r="M36" t="s">
        <v>1481</v>
      </c>
      <c r="O36">
        <v>79.8</v>
      </c>
      <c r="P36">
        <v>34</v>
      </c>
      <c r="Q36">
        <v>19</v>
      </c>
      <c r="R36" s="716">
        <v>1042</v>
      </c>
      <c r="S36" s="716"/>
      <c r="U36">
        <v>54.4</v>
      </c>
      <c r="V36">
        <v>19.7</v>
      </c>
      <c r="W36">
        <v>19</v>
      </c>
      <c r="Y36">
        <v>-0.91</v>
      </c>
      <c r="AA36">
        <v>1</v>
      </c>
      <c r="AB36">
        <v>-1.26</v>
      </c>
      <c r="AD36">
        <v>1</v>
      </c>
      <c r="AK36">
        <v>1</v>
      </c>
      <c r="AL36" t="s">
        <v>48</v>
      </c>
      <c r="AM36" t="s">
        <v>32</v>
      </c>
      <c r="AN36" t="s">
        <v>41</v>
      </c>
    </row>
    <row r="37" spans="1:40" customFormat="1" ht="18" customHeight="1">
      <c r="A37">
        <v>31</v>
      </c>
      <c r="B37" t="s">
        <v>908</v>
      </c>
      <c r="C37" t="s">
        <v>977</v>
      </c>
      <c r="D37" t="s">
        <v>2469</v>
      </c>
      <c r="E37" t="s">
        <v>2451</v>
      </c>
      <c r="F37" t="s">
        <v>55</v>
      </c>
      <c r="G37">
        <v>2020</v>
      </c>
      <c r="H37" t="s">
        <v>1265</v>
      </c>
      <c r="K37" t="s">
        <v>52</v>
      </c>
      <c r="O37">
        <v>60.4</v>
      </c>
      <c r="P37">
        <v>43.5</v>
      </c>
      <c r="Q37">
        <v>16</v>
      </c>
      <c r="R37" s="716">
        <v>926</v>
      </c>
      <c r="S37" s="716"/>
      <c r="U37">
        <v>53.3</v>
      </c>
      <c r="V37">
        <v>7.375</v>
      </c>
      <c r="W37">
        <v>17</v>
      </c>
      <c r="Y37">
        <v>-0.23</v>
      </c>
      <c r="AA37">
        <v>1</v>
      </c>
      <c r="AB37">
        <v>-0.95</v>
      </c>
      <c r="AD37">
        <v>1</v>
      </c>
      <c r="AK37">
        <v>4</v>
      </c>
      <c r="AL37" t="s">
        <v>56</v>
      </c>
      <c r="AM37" t="s">
        <v>23</v>
      </c>
      <c r="AN37" t="s">
        <v>57</v>
      </c>
    </row>
    <row r="38" spans="1:40" customFormat="1" ht="18" customHeight="1">
      <c r="A38">
        <v>32</v>
      </c>
      <c r="B38" t="s">
        <v>908</v>
      </c>
      <c r="C38" t="s">
        <v>977</v>
      </c>
      <c r="D38" t="s">
        <v>2469</v>
      </c>
      <c r="E38" t="s">
        <v>2451</v>
      </c>
      <c r="F38" t="s">
        <v>37</v>
      </c>
      <c r="G38">
        <v>2007</v>
      </c>
      <c r="H38" t="s">
        <v>1482</v>
      </c>
      <c r="K38" t="s">
        <v>50</v>
      </c>
      <c r="L38" t="s">
        <v>1480</v>
      </c>
      <c r="O38">
        <v>40</v>
      </c>
      <c r="P38">
        <v>35</v>
      </c>
      <c r="Q38">
        <v>12</v>
      </c>
      <c r="R38" s="716" t="s">
        <v>24</v>
      </c>
      <c r="S38" s="716"/>
      <c r="U38">
        <v>31</v>
      </c>
      <c r="V38">
        <v>11.9</v>
      </c>
      <c r="W38">
        <v>12</v>
      </c>
      <c r="Y38">
        <v>-0.34</v>
      </c>
      <c r="AA38">
        <v>1</v>
      </c>
      <c r="AB38">
        <v>-0.73</v>
      </c>
      <c r="AD38">
        <v>1</v>
      </c>
      <c r="AK38">
        <v>1</v>
      </c>
      <c r="AL38" t="s">
        <v>39</v>
      </c>
      <c r="AM38" t="s">
        <v>40</v>
      </c>
      <c r="AN38" t="s">
        <v>41</v>
      </c>
    </row>
    <row r="39" spans="1:40" customFormat="1" ht="18" customHeight="1">
      <c r="A39">
        <v>33</v>
      </c>
      <c r="B39" t="s">
        <v>908</v>
      </c>
      <c r="C39" t="s">
        <v>977</v>
      </c>
      <c r="D39" t="s">
        <v>2469</v>
      </c>
      <c r="E39" t="s">
        <v>2451</v>
      </c>
      <c r="F39" t="s">
        <v>2710</v>
      </c>
      <c r="G39">
        <v>2017</v>
      </c>
      <c r="H39" t="s">
        <v>1482</v>
      </c>
      <c r="K39" t="s">
        <v>50</v>
      </c>
      <c r="M39" t="s">
        <v>1479</v>
      </c>
      <c r="O39">
        <v>19</v>
      </c>
      <c r="P39">
        <v>10.8</v>
      </c>
      <c r="Q39">
        <v>37</v>
      </c>
      <c r="R39" s="716">
        <v>720</v>
      </c>
      <c r="S39" s="716"/>
      <c r="U39">
        <v>20.7</v>
      </c>
      <c r="V39">
        <v>13.3</v>
      </c>
      <c r="W39">
        <v>30</v>
      </c>
      <c r="Y39">
        <v>0.14000000000000001</v>
      </c>
      <c r="AA39">
        <v>1</v>
      </c>
      <c r="AB39">
        <v>0.13</v>
      </c>
      <c r="AC39">
        <v>0.01</v>
      </c>
      <c r="AD39">
        <v>1</v>
      </c>
      <c r="AK39">
        <v>1</v>
      </c>
      <c r="AL39" t="s">
        <v>48</v>
      </c>
      <c r="AM39" t="s">
        <v>32</v>
      </c>
      <c r="AN39" t="s">
        <v>41</v>
      </c>
    </row>
    <row r="40" spans="1:40" customFormat="1" ht="18" customHeight="1">
      <c r="A40">
        <v>34</v>
      </c>
      <c r="B40" t="s">
        <v>908</v>
      </c>
      <c r="C40" t="s">
        <v>977</v>
      </c>
      <c r="D40" t="s">
        <v>2469</v>
      </c>
      <c r="E40" t="s">
        <v>2451</v>
      </c>
      <c r="F40" t="s">
        <v>21</v>
      </c>
      <c r="G40">
        <v>2021</v>
      </c>
      <c r="H40" t="s">
        <v>1207</v>
      </c>
      <c r="K40" t="s">
        <v>1513</v>
      </c>
      <c r="M40" t="s">
        <v>26</v>
      </c>
      <c r="O40">
        <v>-0.3</v>
      </c>
      <c r="P40">
        <v>1</v>
      </c>
      <c r="Q40">
        <v>152</v>
      </c>
      <c r="R40" s="716">
        <v>908</v>
      </c>
      <c r="S40" s="716"/>
      <c r="U40">
        <v>0</v>
      </c>
      <c r="V40">
        <v>1</v>
      </c>
      <c r="W40">
        <v>76</v>
      </c>
      <c r="Y40" t="s">
        <v>23</v>
      </c>
      <c r="AA40">
        <v>-1</v>
      </c>
      <c r="AB40">
        <v>-0.26</v>
      </c>
      <c r="AC40">
        <v>1</v>
      </c>
      <c r="AD40">
        <v>1</v>
      </c>
      <c r="AM40" t="s">
        <v>24</v>
      </c>
    </row>
    <row r="41" spans="1:40" customFormat="1" ht="18" customHeight="1">
      <c r="A41">
        <v>35</v>
      </c>
      <c r="B41" t="s">
        <v>908</v>
      </c>
      <c r="C41" t="s">
        <v>977</v>
      </c>
      <c r="D41" t="s">
        <v>2469</v>
      </c>
      <c r="E41" t="s">
        <v>2451</v>
      </c>
      <c r="F41" t="s">
        <v>43</v>
      </c>
      <c r="G41">
        <v>2015</v>
      </c>
      <c r="H41" t="s">
        <v>1207</v>
      </c>
      <c r="K41" t="s">
        <v>2038</v>
      </c>
      <c r="O41">
        <v>108.5</v>
      </c>
      <c r="P41">
        <v>17.82</v>
      </c>
      <c r="Q41">
        <v>14</v>
      </c>
      <c r="R41" s="716" t="s">
        <v>24</v>
      </c>
      <c r="S41" s="716"/>
      <c r="U41">
        <v>105.9</v>
      </c>
      <c r="V41">
        <v>9.73</v>
      </c>
      <c r="W41">
        <v>14</v>
      </c>
      <c r="Y41">
        <v>-0.18</v>
      </c>
      <c r="AA41">
        <v>1</v>
      </c>
      <c r="AB41">
        <v>-0.26</v>
      </c>
      <c r="AD41">
        <v>1</v>
      </c>
      <c r="AK41" t="s">
        <v>23</v>
      </c>
      <c r="AL41" t="s">
        <v>44</v>
      </c>
      <c r="AM41" t="s">
        <v>32</v>
      </c>
      <c r="AN41" t="s">
        <v>44</v>
      </c>
    </row>
    <row r="42" spans="1:40" customFormat="1" ht="18" customHeight="1">
      <c r="A42">
        <v>36</v>
      </c>
      <c r="B42" t="s">
        <v>908</v>
      </c>
      <c r="C42" t="s">
        <v>977</v>
      </c>
      <c r="D42" t="s">
        <v>2469</v>
      </c>
      <c r="E42" t="s">
        <v>2451</v>
      </c>
      <c r="F42" t="s">
        <v>43</v>
      </c>
      <c r="G42">
        <v>2015</v>
      </c>
      <c r="H42" t="s">
        <v>1207</v>
      </c>
      <c r="K42" t="s">
        <v>1420</v>
      </c>
      <c r="O42">
        <v>5.6</v>
      </c>
      <c r="P42">
        <v>1.1599999999999999</v>
      </c>
      <c r="Q42">
        <v>14</v>
      </c>
      <c r="R42" s="716" t="s">
        <v>24</v>
      </c>
      <c r="S42" s="716"/>
      <c r="U42">
        <v>6</v>
      </c>
      <c r="V42">
        <v>0.1</v>
      </c>
      <c r="W42">
        <v>14</v>
      </c>
      <c r="Y42">
        <v>0.52</v>
      </c>
      <c r="AA42">
        <v>-1</v>
      </c>
      <c r="AB42">
        <v>-4.17</v>
      </c>
      <c r="AD42">
        <v>1</v>
      </c>
      <c r="AK42" t="s">
        <v>23</v>
      </c>
      <c r="AL42" t="s">
        <v>44</v>
      </c>
      <c r="AM42" t="s">
        <v>32</v>
      </c>
      <c r="AN42" t="s">
        <v>44</v>
      </c>
    </row>
    <row r="43" spans="1:40" customFormat="1" ht="18" customHeight="1">
      <c r="A43">
        <v>37</v>
      </c>
      <c r="B43" t="s">
        <v>908</v>
      </c>
      <c r="C43" t="s">
        <v>977</v>
      </c>
      <c r="D43" t="s">
        <v>2469</v>
      </c>
      <c r="E43" t="s">
        <v>2451</v>
      </c>
      <c r="F43" s="191" t="s">
        <v>2710</v>
      </c>
      <c r="G43">
        <v>2017</v>
      </c>
      <c r="H43" t="s">
        <v>1207</v>
      </c>
      <c r="K43" t="s">
        <v>1420</v>
      </c>
      <c r="O43">
        <v>3.9</v>
      </c>
      <c r="P43">
        <v>1.2</v>
      </c>
      <c r="Q43">
        <v>37</v>
      </c>
      <c r="R43" s="716">
        <v>720</v>
      </c>
      <c r="S43" s="716"/>
      <c r="U43">
        <v>4.4000000000000004</v>
      </c>
      <c r="V43">
        <v>0.9</v>
      </c>
      <c r="W43">
        <v>30</v>
      </c>
      <c r="Y43">
        <v>0.47</v>
      </c>
      <c r="AA43">
        <v>-1</v>
      </c>
      <c r="AB43">
        <v>-0.55000000000000004</v>
      </c>
      <c r="AD43">
        <v>1</v>
      </c>
      <c r="AK43">
        <v>1</v>
      </c>
      <c r="AL43" t="s">
        <v>48</v>
      </c>
      <c r="AM43" t="s">
        <v>32</v>
      </c>
      <c r="AN43" t="s">
        <v>41</v>
      </c>
    </row>
    <row r="44" spans="1:40" customFormat="1" ht="18" customHeight="1">
      <c r="A44">
        <v>38</v>
      </c>
      <c r="B44" t="s">
        <v>908</v>
      </c>
      <c r="C44" t="s">
        <v>977</v>
      </c>
      <c r="D44" t="s">
        <v>2469</v>
      </c>
      <c r="E44" t="s">
        <v>2451</v>
      </c>
      <c r="F44" s="191" t="s">
        <v>2710</v>
      </c>
      <c r="G44">
        <v>2017</v>
      </c>
      <c r="H44" t="s">
        <v>1207</v>
      </c>
      <c r="K44" t="s">
        <v>1402</v>
      </c>
      <c r="O44">
        <v>8.1</v>
      </c>
      <c r="P44">
        <v>5.0999999999999996</v>
      </c>
      <c r="Q44">
        <v>37</v>
      </c>
      <c r="R44" s="716">
        <v>720</v>
      </c>
      <c r="S44" s="716"/>
      <c r="U44">
        <v>6.8</v>
      </c>
      <c r="V44">
        <v>4.4000000000000004</v>
      </c>
      <c r="W44">
        <v>30</v>
      </c>
      <c r="Y44">
        <v>-0.27</v>
      </c>
      <c r="AA44">
        <v>1</v>
      </c>
      <c r="AB44">
        <v>-0.28999999999999998</v>
      </c>
      <c r="AD44">
        <v>1</v>
      </c>
      <c r="AK44">
        <v>3</v>
      </c>
      <c r="AL44" t="s">
        <v>48</v>
      </c>
      <c r="AM44" t="s">
        <v>32</v>
      </c>
      <c r="AN44" t="s">
        <v>41</v>
      </c>
    </row>
    <row r="45" spans="1:40" customFormat="1" ht="18" customHeight="1">
      <c r="A45">
        <v>39</v>
      </c>
      <c r="B45" t="s">
        <v>908</v>
      </c>
      <c r="C45" t="s">
        <v>977</v>
      </c>
      <c r="D45" t="s">
        <v>2469</v>
      </c>
      <c r="E45" t="s">
        <v>2451</v>
      </c>
      <c r="F45" t="s">
        <v>53</v>
      </c>
      <c r="G45">
        <v>2017</v>
      </c>
      <c r="H45" t="s">
        <v>1207</v>
      </c>
      <c r="K45" t="s">
        <v>1402</v>
      </c>
      <c r="O45">
        <v>21</v>
      </c>
      <c r="P45">
        <v>32</v>
      </c>
      <c r="Q45">
        <v>25</v>
      </c>
      <c r="R45" s="716">
        <v>1332</v>
      </c>
      <c r="S45" s="716"/>
      <c r="U45">
        <v>12</v>
      </c>
      <c r="V45">
        <v>9</v>
      </c>
      <c r="W45">
        <v>15</v>
      </c>
      <c r="Y45">
        <v>-0.38</v>
      </c>
      <c r="AA45">
        <v>1</v>
      </c>
      <c r="AB45">
        <v>-0.98</v>
      </c>
      <c r="AD45">
        <v>1</v>
      </c>
      <c r="AK45">
        <v>1</v>
      </c>
      <c r="AL45" t="s">
        <v>48</v>
      </c>
      <c r="AM45" t="s">
        <v>32</v>
      </c>
      <c r="AN45" t="s">
        <v>41</v>
      </c>
    </row>
    <row r="46" spans="1:40" customFormat="1" ht="18" customHeight="1">
      <c r="A46">
        <v>40</v>
      </c>
      <c r="B46" t="s">
        <v>908</v>
      </c>
      <c r="C46" t="s">
        <v>977</v>
      </c>
      <c r="D46" t="s">
        <v>2469</v>
      </c>
      <c r="E46" t="s">
        <v>2451</v>
      </c>
      <c r="F46" t="s">
        <v>54</v>
      </c>
      <c r="G46">
        <v>2020</v>
      </c>
      <c r="H46" t="s">
        <v>1207</v>
      </c>
      <c r="K46" t="s">
        <v>1420</v>
      </c>
      <c r="O46">
        <v>4</v>
      </c>
      <c r="P46">
        <v>1.1000000000000001</v>
      </c>
      <c r="Q46">
        <v>19</v>
      </c>
      <c r="R46" s="716">
        <v>1042</v>
      </c>
      <c r="S46" s="716"/>
      <c r="U46">
        <v>4.0999999999999996</v>
      </c>
      <c r="V46">
        <v>1</v>
      </c>
      <c r="W46">
        <v>19</v>
      </c>
      <c r="Y46">
        <v>0.1</v>
      </c>
      <c r="AA46">
        <v>-1</v>
      </c>
      <c r="AB46">
        <v>-0.1</v>
      </c>
      <c r="AD46">
        <v>1</v>
      </c>
      <c r="AK46">
        <v>1</v>
      </c>
      <c r="AL46" t="s">
        <v>48</v>
      </c>
      <c r="AM46" t="s">
        <v>32</v>
      </c>
      <c r="AN46" t="s">
        <v>41</v>
      </c>
    </row>
    <row r="47" spans="1:40" customFormat="1" ht="18" customHeight="1">
      <c r="A47">
        <v>41</v>
      </c>
      <c r="B47" t="s">
        <v>908</v>
      </c>
      <c r="C47" t="s">
        <v>977</v>
      </c>
      <c r="D47" t="s">
        <v>2469</v>
      </c>
      <c r="E47" t="s">
        <v>2451</v>
      </c>
      <c r="F47" t="s">
        <v>54</v>
      </c>
      <c r="G47">
        <v>2020</v>
      </c>
      <c r="H47" t="s">
        <v>1207</v>
      </c>
      <c r="K47" t="s">
        <v>1402</v>
      </c>
      <c r="O47">
        <v>7</v>
      </c>
      <c r="P47">
        <v>3.1</v>
      </c>
      <c r="Q47">
        <v>19</v>
      </c>
      <c r="R47" s="716">
        <v>1042</v>
      </c>
      <c r="S47" s="716"/>
      <c r="U47">
        <v>7.8</v>
      </c>
      <c r="V47">
        <v>3.3</v>
      </c>
      <c r="W47">
        <v>19</v>
      </c>
      <c r="Y47">
        <v>0.25</v>
      </c>
      <c r="AA47">
        <v>1</v>
      </c>
      <c r="AB47">
        <v>0.24</v>
      </c>
      <c r="AD47">
        <v>1</v>
      </c>
      <c r="AK47">
        <v>1</v>
      </c>
      <c r="AL47" t="s">
        <v>48</v>
      </c>
      <c r="AM47" t="s">
        <v>32</v>
      </c>
      <c r="AN47" t="s">
        <v>41</v>
      </c>
    </row>
    <row r="48" spans="1:40" customFormat="1" ht="18" customHeight="1">
      <c r="A48">
        <v>42</v>
      </c>
      <c r="B48" t="s">
        <v>908</v>
      </c>
      <c r="C48" t="s">
        <v>977</v>
      </c>
      <c r="D48" t="s">
        <v>2469</v>
      </c>
      <c r="E48" t="s">
        <v>2451</v>
      </c>
      <c r="F48" t="s">
        <v>2479</v>
      </c>
      <c r="G48">
        <v>1996</v>
      </c>
      <c r="H48" t="s">
        <v>1207</v>
      </c>
      <c r="K48" t="s">
        <v>1420</v>
      </c>
      <c r="O48">
        <v>4.4000000000000004</v>
      </c>
      <c r="P48">
        <v>1.71</v>
      </c>
      <c r="Q48">
        <v>11</v>
      </c>
      <c r="R48" s="716">
        <v>1545</v>
      </c>
      <c r="S48" s="716"/>
      <c r="U48">
        <v>5.6</v>
      </c>
      <c r="V48">
        <v>1.33</v>
      </c>
      <c r="W48">
        <v>22</v>
      </c>
      <c r="Y48">
        <v>0.78</v>
      </c>
      <c r="AA48">
        <v>-1</v>
      </c>
      <c r="AB48">
        <v>-0.87</v>
      </c>
      <c r="AD48">
        <v>1</v>
      </c>
      <c r="AK48">
        <v>1</v>
      </c>
      <c r="AL48" t="s">
        <v>23</v>
      </c>
      <c r="AM48" t="s">
        <v>23</v>
      </c>
      <c r="AN48" t="s">
        <v>23</v>
      </c>
    </row>
    <row r="49" spans="1:40" customFormat="1" ht="18" customHeight="1">
      <c r="A49">
        <v>43</v>
      </c>
      <c r="B49" t="s">
        <v>908</v>
      </c>
      <c r="C49" t="s">
        <v>977</v>
      </c>
      <c r="D49" t="s">
        <v>2469</v>
      </c>
      <c r="E49" t="s">
        <v>2451</v>
      </c>
      <c r="F49" t="s">
        <v>2479</v>
      </c>
      <c r="G49">
        <v>1996</v>
      </c>
      <c r="H49" t="s">
        <v>1207</v>
      </c>
      <c r="K49" t="s">
        <v>2038</v>
      </c>
      <c r="O49">
        <v>23</v>
      </c>
      <c r="P49">
        <v>10.1</v>
      </c>
      <c r="Q49">
        <v>11</v>
      </c>
      <c r="R49" s="716">
        <v>1545</v>
      </c>
      <c r="S49" s="716"/>
      <c r="U49">
        <v>9.6999999999999993</v>
      </c>
      <c r="V49">
        <v>8.23</v>
      </c>
      <c r="W49">
        <v>22</v>
      </c>
      <c r="Y49">
        <v>-1.45</v>
      </c>
      <c r="AA49">
        <v>1</v>
      </c>
      <c r="AB49">
        <v>-1.58</v>
      </c>
      <c r="AD49">
        <v>1</v>
      </c>
      <c r="AK49">
        <v>1</v>
      </c>
      <c r="AL49" t="s">
        <v>23</v>
      </c>
      <c r="AM49" t="s">
        <v>23</v>
      </c>
      <c r="AN49" t="s">
        <v>23</v>
      </c>
    </row>
    <row r="50" spans="1:40" customFormat="1" ht="18" customHeight="1">
      <c r="A50">
        <v>44</v>
      </c>
      <c r="B50" t="s">
        <v>908</v>
      </c>
      <c r="C50" t="s">
        <v>977</v>
      </c>
      <c r="D50" t="s">
        <v>2469</v>
      </c>
      <c r="E50" t="s">
        <v>2451</v>
      </c>
      <c r="F50" t="s">
        <v>2480</v>
      </c>
      <c r="G50">
        <v>1996</v>
      </c>
      <c r="H50" t="s">
        <v>1207</v>
      </c>
      <c r="K50" t="s">
        <v>1420</v>
      </c>
      <c r="O50">
        <v>6</v>
      </c>
      <c r="P50">
        <v>1.33</v>
      </c>
      <c r="Q50">
        <v>11</v>
      </c>
      <c r="R50" s="716">
        <v>566</v>
      </c>
      <c r="S50" s="716"/>
      <c r="U50">
        <v>5.6</v>
      </c>
      <c r="V50">
        <v>1.33</v>
      </c>
      <c r="W50">
        <v>22</v>
      </c>
      <c r="Y50">
        <v>-0.31</v>
      </c>
      <c r="AA50">
        <v>-1</v>
      </c>
      <c r="AB50">
        <v>0.3</v>
      </c>
      <c r="AD50">
        <v>1</v>
      </c>
      <c r="AK50" t="s">
        <v>23</v>
      </c>
      <c r="AL50" t="s">
        <v>23</v>
      </c>
      <c r="AM50" t="s">
        <v>23</v>
      </c>
      <c r="AN50" t="s">
        <v>23</v>
      </c>
    </row>
    <row r="51" spans="1:40" customFormat="1" ht="18" customHeight="1">
      <c r="A51">
        <v>45</v>
      </c>
      <c r="B51" t="s">
        <v>908</v>
      </c>
      <c r="C51" t="s">
        <v>977</v>
      </c>
      <c r="D51" t="s">
        <v>2469</v>
      </c>
      <c r="E51" t="s">
        <v>2451</v>
      </c>
      <c r="F51" t="s">
        <v>2480</v>
      </c>
      <c r="G51">
        <v>1996</v>
      </c>
      <c r="H51" t="s">
        <v>1207</v>
      </c>
      <c r="K51" t="s">
        <v>2038</v>
      </c>
      <c r="O51">
        <v>7.6</v>
      </c>
      <c r="P51">
        <v>4.29</v>
      </c>
      <c r="Q51">
        <v>11</v>
      </c>
      <c r="R51" s="716">
        <v>566</v>
      </c>
      <c r="S51" s="716"/>
      <c r="U51">
        <v>9.6999999999999993</v>
      </c>
      <c r="V51">
        <v>8.23</v>
      </c>
      <c r="W51">
        <v>22</v>
      </c>
      <c r="Y51">
        <v>0.32</v>
      </c>
      <c r="AA51">
        <v>1</v>
      </c>
      <c r="AB51">
        <v>0.25</v>
      </c>
      <c r="AD51">
        <v>1</v>
      </c>
      <c r="AK51" t="s">
        <v>23</v>
      </c>
      <c r="AL51" t="s">
        <v>23</v>
      </c>
      <c r="AM51" t="s">
        <v>23</v>
      </c>
      <c r="AN51" t="s">
        <v>23</v>
      </c>
    </row>
    <row r="52" spans="1:40" customFormat="1" ht="18" customHeight="1">
      <c r="A52">
        <v>46</v>
      </c>
      <c r="B52" t="s">
        <v>1353</v>
      </c>
      <c r="C52" t="s">
        <v>977</v>
      </c>
      <c r="D52" t="s">
        <v>2469</v>
      </c>
      <c r="E52" t="s">
        <v>2451</v>
      </c>
      <c r="F52" t="s">
        <v>2124</v>
      </c>
      <c r="G52">
        <v>1995</v>
      </c>
      <c r="H52" t="s">
        <v>2130</v>
      </c>
      <c r="K52" t="s">
        <v>2131</v>
      </c>
      <c r="O52">
        <v>11.9</v>
      </c>
      <c r="P52">
        <v>2.56</v>
      </c>
      <c r="Q52">
        <v>10</v>
      </c>
      <c r="R52" s="716">
        <v>348</v>
      </c>
      <c r="S52" s="716"/>
      <c r="U52">
        <v>12.2</v>
      </c>
      <c r="V52">
        <v>2.35</v>
      </c>
      <c r="W52">
        <v>10</v>
      </c>
      <c r="AA52">
        <v>-1</v>
      </c>
      <c r="AB52">
        <v>-0.12</v>
      </c>
      <c r="AD52">
        <v>1</v>
      </c>
      <c r="AF52">
        <v>7.53</v>
      </c>
      <c r="AG52" t="s">
        <v>24</v>
      </c>
      <c r="AI52">
        <v>7.59</v>
      </c>
      <c r="AJ52" t="s">
        <v>24</v>
      </c>
      <c r="AL52" t="s">
        <v>2075</v>
      </c>
    </row>
    <row r="53" spans="1:40" customFormat="1" ht="18" customHeight="1">
      <c r="A53">
        <v>47</v>
      </c>
      <c r="B53" t="s">
        <v>1353</v>
      </c>
      <c r="C53" t="s">
        <v>977</v>
      </c>
      <c r="D53" t="s">
        <v>2469</v>
      </c>
      <c r="E53" t="s">
        <v>2451</v>
      </c>
      <c r="F53" t="s">
        <v>2458</v>
      </c>
      <c r="G53">
        <v>2008</v>
      </c>
      <c r="H53" t="s">
        <v>2020</v>
      </c>
      <c r="K53" t="s">
        <v>1157</v>
      </c>
      <c r="M53" t="s">
        <v>1359</v>
      </c>
      <c r="O53">
        <v>7.8</v>
      </c>
      <c r="P53">
        <v>2.8719999999999999</v>
      </c>
      <c r="Q53">
        <v>33</v>
      </c>
      <c r="R53" s="716"/>
      <c r="S53" s="716"/>
      <c r="U53">
        <v>10.5</v>
      </c>
      <c r="V53">
        <v>2.915</v>
      </c>
      <c r="W53">
        <v>34</v>
      </c>
      <c r="Y53">
        <v>0.93</v>
      </c>
      <c r="AA53">
        <v>-1</v>
      </c>
      <c r="AB53">
        <v>-0.92</v>
      </c>
      <c r="AD53">
        <v>1</v>
      </c>
      <c r="AF53">
        <v>11.18</v>
      </c>
      <c r="AG53">
        <v>3.4</v>
      </c>
      <c r="AI53">
        <v>10.3</v>
      </c>
      <c r="AJ53">
        <v>3.1</v>
      </c>
    </row>
    <row r="54" spans="1:40" customFormat="1" ht="18" customHeight="1">
      <c r="A54">
        <v>48</v>
      </c>
      <c r="B54" t="s">
        <v>1353</v>
      </c>
      <c r="C54" t="s">
        <v>977</v>
      </c>
      <c r="D54" t="s">
        <v>2469</v>
      </c>
      <c r="E54" t="s">
        <v>2451</v>
      </c>
      <c r="F54" t="s">
        <v>1390</v>
      </c>
      <c r="G54">
        <v>2003</v>
      </c>
      <c r="H54" t="s">
        <v>2020</v>
      </c>
      <c r="K54" t="s">
        <v>315</v>
      </c>
      <c r="M54" t="s">
        <v>1359</v>
      </c>
      <c r="O54">
        <v>7.8</v>
      </c>
      <c r="P54">
        <v>2.8</v>
      </c>
      <c r="Q54">
        <v>46</v>
      </c>
      <c r="R54" s="717">
        <v>490</v>
      </c>
      <c r="S54" s="717">
        <v>375</v>
      </c>
      <c r="U54">
        <v>10.3</v>
      </c>
      <c r="V54">
        <v>2.1</v>
      </c>
      <c r="W54">
        <v>18</v>
      </c>
      <c r="Y54">
        <v>1.01</v>
      </c>
      <c r="AA54">
        <v>-1</v>
      </c>
      <c r="AB54">
        <v>-1.18</v>
      </c>
      <c r="AD54">
        <v>1</v>
      </c>
      <c r="AF54">
        <v>10.75</v>
      </c>
      <c r="AG54">
        <v>2.1</v>
      </c>
      <c r="AI54">
        <v>13.1</v>
      </c>
      <c r="AJ54">
        <v>3.2</v>
      </c>
    </row>
    <row r="55" spans="1:40" customFormat="1" ht="18" customHeight="1">
      <c r="A55">
        <v>49</v>
      </c>
      <c r="B55" t="s">
        <v>1353</v>
      </c>
      <c r="C55" t="s">
        <v>977</v>
      </c>
      <c r="D55" t="s">
        <v>2469</v>
      </c>
      <c r="E55" t="s">
        <v>2451</v>
      </c>
      <c r="F55" t="s">
        <v>1390</v>
      </c>
      <c r="G55">
        <v>2003</v>
      </c>
      <c r="H55" t="s">
        <v>2020</v>
      </c>
      <c r="K55" t="s">
        <v>1215</v>
      </c>
      <c r="M55" t="s">
        <v>1359</v>
      </c>
      <c r="O55">
        <v>0.2</v>
      </c>
      <c r="P55">
        <v>0.1</v>
      </c>
      <c r="Q55">
        <v>46</v>
      </c>
      <c r="R55" s="717">
        <v>490</v>
      </c>
      <c r="S55" s="717">
        <v>375</v>
      </c>
      <c r="U55">
        <v>0.1</v>
      </c>
      <c r="V55">
        <v>0.1</v>
      </c>
      <c r="W55">
        <v>18</v>
      </c>
      <c r="Y55">
        <v>-1</v>
      </c>
      <c r="AA55">
        <v>1</v>
      </c>
      <c r="AB55">
        <v>-0.99</v>
      </c>
      <c r="AD55">
        <v>0</v>
      </c>
      <c r="AF55">
        <v>10.75</v>
      </c>
      <c r="AG55">
        <v>2.1</v>
      </c>
      <c r="AI55">
        <v>13.1</v>
      </c>
      <c r="AJ55">
        <v>3.2</v>
      </c>
    </row>
    <row r="56" spans="1:40" customFormat="1" ht="18" customHeight="1">
      <c r="A56">
        <v>50</v>
      </c>
      <c r="B56" t="s">
        <v>1353</v>
      </c>
      <c r="C56" t="s">
        <v>977</v>
      </c>
      <c r="D56" t="s">
        <v>2469</v>
      </c>
      <c r="E56" t="s">
        <v>2451</v>
      </c>
      <c r="F56" t="s">
        <v>1490</v>
      </c>
      <c r="G56">
        <v>2014</v>
      </c>
      <c r="H56" t="s">
        <v>1271</v>
      </c>
      <c r="K56" t="s">
        <v>1508</v>
      </c>
      <c r="O56">
        <v>15.2</v>
      </c>
      <c r="P56">
        <v>15.942</v>
      </c>
      <c r="Q56">
        <v>21</v>
      </c>
      <c r="R56" s="717">
        <v>590</v>
      </c>
      <c r="S56" s="717">
        <v>248</v>
      </c>
      <c r="U56">
        <v>8.1999999999999993</v>
      </c>
      <c r="V56">
        <v>9.1709999999999994</v>
      </c>
      <c r="W56">
        <v>73</v>
      </c>
      <c r="AA56">
        <v>1</v>
      </c>
      <c r="AB56">
        <v>-0.76</v>
      </c>
      <c r="AD56">
        <v>1</v>
      </c>
      <c r="AF56">
        <v>10.6</v>
      </c>
      <c r="AG56">
        <v>2.5</v>
      </c>
      <c r="AI56">
        <v>10.9</v>
      </c>
      <c r="AJ56">
        <v>2.2000000000000002</v>
      </c>
    </row>
    <row r="57" spans="1:40" customFormat="1" ht="18" customHeight="1">
      <c r="A57">
        <v>51</v>
      </c>
      <c r="B57" t="s">
        <v>1353</v>
      </c>
      <c r="C57" t="s">
        <v>977</v>
      </c>
      <c r="D57" t="s">
        <v>2469</v>
      </c>
      <c r="E57" t="s">
        <v>2451</v>
      </c>
      <c r="F57" t="s">
        <v>1500</v>
      </c>
      <c r="G57">
        <v>2020</v>
      </c>
      <c r="H57" t="s">
        <v>376</v>
      </c>
      <c r="K57" s="510" t="s">
        <v>1442</v>
      </c>
      <c r="L57" t="s">
        <v>1441</v>
      </c>
      <c r="N57" t="s">
        <v>1436</v>
      </c>
      <c r="O57">
        <v>7</v>
      </c>
      <c r="P57">
        <v>2.25</v>
      </c>
      <c r="Q57">
        <v>15</v>
      </c>
      <c r="R57" s="717">
        <v>289</v>
      </c>
      <c r="S57" s="717">
        <v>83</v>
      </c>
      <c r="U57">
        <v>10</v>
      </c>
      <c r="V57">
        <v>2.25</v>
      </c>
      <c r="W57">
        <v>14</v>
      </c>
      <c r="AA57">
        <v>-1</v>
      </c>
      <c r="AB57">
        <v>-1.25</v>
      </c>
      <c r="AD57">
        <v>1</v>
      </c>
    </row>
    <row r="58" spans="1:40" customFormat="1" ht="18" customHeight="1">
      <c r="A58">
        <v>52</v>
      </c>
      <c r="B58" t="s">
        <v>1353</v>
      </c>
      <c r="C58" t="s">
        <v>977</v>
      </c>
      <c r="D58" t="s">
        <v>2469</v>
      </c>
      <c r="E58" t="s">
        <v>2451</v>
      </c>
      <c r="F58" t="s">
        <v>1392</v>
      </c>
      <c r="G58">
        <v>2018</v>
      </c>
      <c r="H58" t="s">
        <v>1265</v>
      </c>
      <c r="O58">
        <v>115</v>
      </c>
      <c r="P58">
        <v>45.9</v>
      </c>
      <c r="Q58">
        <v>11</v>
      </c>
      <c r="R58" s="717">
        <v>743</v>
      </c>
      <c r="S58" s="717">
        <v>84</v>
      </c>
      <c r="U58">
        <v>76.8</v>
      </c>
      <c r="V58">
        <v>17.600000000000001</v>
      </c>
      <c r="W58">
        <v>28</v>
      </c>
      <c r="AA58">
        <v>1</v>
      </c>
      <c r="AB58">
        <v>-2.13</v>
      </c>
      <c r="AD58">
        <v>1</v>
      </c>
      <c r="AF58">
        <v>13</v>
      </c>
      <c r="AG58">
        <v>2.5</v>
      </c>
      <c r="AI58">
        <v>11.8</v>
      </c>
      <c r="AJ58">
        <v>2.5</v>
      </c>
    </row>
    <row r="59" spans="1:40" customFormat="1" ht="18" customHeight="1">
      <c r="A59">
        <v>53</v>
      </c>
      <c r="B59" t="s">
        <v>1353</v>
      </c>
      <c r="C59" t="s">
        <v>977</v>
      </c>
      <c r="D59" t="s">
        <v>2469</v>
      </c>
      <c r="E59" t="s">
        <v>2451</v>
      </c>
      <c r="F59" t="s">
        <v>1394</v>
      </c>
      <c r="G59">
        <v>2004</v>
      </c>
      <c r="H59" t="s">
        <v>1207</v>
      </c>
      <c r="K59" t="s">
        <v>2590</v>
      </c>
      <c r="O59">
        <v>17.7</v>
      </c>
      <c r="P59">
        <v>11.68</v>
      </c>
      <c r="Q59">
        <v>14</v>
      </c>
      <c r="R59" s="717">
        <v>491</v>
      </c>
      <c r="S59" s="717">
        <v>149</v>
      </c>
      <c r="U59">
        <v>7.6</v>
      </c>
      <c r="V59">
        <v>3.17</v>
      </c>
      <c r="W59">
        <v>14</v>
      </c>
      <c r="AA59">
        <v>1</v>
      </c>
      <c r="AB59">
        <v>-3.09</v>
      </c>
      <c r="AD59">
        <v>1</v>
      </c>
      <c r="AF59">
        <v>10.8</v>
      </c>
      <c r="AG59">
        <v>1.25</v>
      </c>
      <c r="AI59">
        <v>10.9</v>
      </c>
      <c r="AJ59">
        <v>1.3</v>
      </c>
    </row>
    <row r="60" spans="1:40" customFormat="1" ht="18" customHeight="1">
      <c r="A60">
        <v>54</v>
      </c>
      <c r="B60" t="s">
        <v>1353</v>
      </c>
      <c r="C60" t="s">
        <v>977</v>
      </c>
      <c r="D60" t="s">
        <v>2469</v>
      </c>
      <c r="E60" t="s">
        <v>2451</v>
      </c>
      <c r="F60" t="s">
        <v>1394</v>
      </c>
      <c r="G60">
        <v>2004</v>
      </c>
      <c r="H60" t="s">
        <v>1207</v>
      </c>
      <c r="K60" t="s">
        <v>1218</v>
      </c>
      <c r="O60">
        <v>5.0999999999999996</v>
      </c>
      <c r="P60">
        <v>1.32</v>
      </c>
      <c r="Q60">
        <v>14</v>
      </c>
      <c r="R60" s="717">
        <v>491</v>
      </c>
      <c r="S60" s="717">
        <v>149</v>
      </c>
      <c r="U60">
        <v>6</v>
      </c>
      <c r="V60">
        <v>1.3</v>
      </c>
      <c r="W60">
        <v>14</v>
      </c>
      <c r="AA60">
        <v>-1</v>
      </c>
      <c r="AB60">
        <v>-0.69</v>
      </c>
      <c r="AD60">
        <v>1</v>
      </c>
      <c r="AF60">
        <v>10.8</v>
      </c>
      <c r="AG60">
        <v>1.25</v>
      </c>
      <c r="AI60">
        <v>10.9</v>
      </c>
      <c r="AJ60">
        <v>1.3</v>
      </c>
    </row>
    <row r="61" spans="1:40" customFormat="1" ht="18" customHeight="1">
      <c r="A61">
        <v>55</v>
      </c>
      <c r="B61" t="s">
        <v>1353</v>
      </c>
      <c r="C61" t="s">
        <v>977</v>
      </c>
      <c r="D61" t="s">
        <v>2469</v>
      </c>
      <c r="E61" t="s">
        <v>2451</v>
      </c>
      <c r="F61" t="s">
        <v>1395</v>
      </c>
      <c r="G61">
        <v>2000</v>
      </c>
      <c r="H61" t="s">
        <v>1207</v>
      </c>
      <c r="K61" t="s">
        <v>2590</v>
      </c>
      <c r="L61" t="s">
        <v>1273</v>
      </c>
      <c r="O61">
        <v>18.3</v>
      </c>
      <c r="P61">
        <v>8.08</v>
      </c>
      <c r="Q61">
        <v>19</v>
      </c>
      <c r="R61" s="717">
        <v>777</v>
      </c>
      <c r="S61" s="717">
        <v>200</v>
      </c>
      <c r="U61">
        <v>13.8</v>
      </c>
      <c r="V61">
        <v>7.64</v>
      </c>
      <c r="W61">
        <v>19</v>
      </c>
      <c r="AA61">
        <v>1</v>
      </c>
      <c r="AB61">
        <v>-0.56999999999999995</v>
      </c>
      <c r="AD61">
        <v>1</v>
      </c>
      <c r="AF61">
        <v>9.4</v>
      </c>
      <c r="AG61">
        <v>2.9</v>
      </c>
      <c r="AI61">
        <v>9.3000000000000007</v>
      </c>
      <c r="AJ61">
        <v>2.9</v>
      </c>
    </row>
    <row r="62" spans="1:40" customFormat="1" ht="18" customHeight="1">
      <c r="A62">
        <v>56</v>
      </c>
      <c r="B62" t="s">
        <v>1353</v>
      </c>
      <c r="C62" t="s">
        <v>977</v>
      </c>
      <c r="D62" t="s">
        <v>2469</v>
      </c>
      <c r="E62" t="s">
        <v>2451</v>
      </c>
      <c r="F62" t="s">
        <v>1395</v>
      </c>
      <c r="G62">
        <v>2000</v>
      </c>
      <c r="H62" t="s">
        <v>1207</v>
      </c>
      <c r="K62" t="s">
        <v>1400</v>
      </c>
      <c r="L62" t="s">
        <v>1274</v>
      </c>
      <c r="O62">
        <v>4.7</v>
      </c>
      <c r="P62">
        <v>1.45</v>
      </c>
      <c r="Q62">
        <v>19</v>
      </c>
      <c r="R62" s="717">
        <v>777</v>
      </c>
      <c r="S62" s="717">
        <v>200</v>
      </c>
      <c r="U62">
        <v>5.5</v>
      </c>
      <c r="V62">
        <v>1.02</v>
      </c>
      <c r="W62">
        <v>19</v>
      </c>
      <c r="AA62">
        <v>-1</v>
      </c>
      <c r="AB62">
        <v>-0.79</v>
      </c>
      <c r="AD62">
        <v>1</v>
      </c>
      <c r="AF62">
        <v>9.4</v>
      </c>
      <c r="AG62">
        <v>2.9</v>
      </c>
      <c r="AI62">
        <v>9.3000000000000007</v>
      </c>
      <c r="AJ62">
        <v>2.9</v>
      </c>
    </row>
    <row r="63" spans="1:40" customFormat="1" ht="18" customHeight="1">
      <c r="A63">
        <v>57</v>
      </c>
      <c r="B63" t="s">
        <v>1353</v>
      </c>
      <c r="C63" t="s">
        <v>977</v>
      </c>
      <c r="D63" t="s">
        <v>2469</v>
      </c>
      <c r="E63" t="s">
        <v>2451</v>
      </c>
      <c r="F63" t="s">
        <v>1396</v>
      </c>
      <c r="G63">
        <v>1999</v>
      </c>
      <c r="H63" t="s">
        <v>1207</v>
      </c>
      <c r="K63" t="s">
        <v>1400</v>
      </c>
      <c r="O63">
        <v>4.0999999999999996</v>
      </c>
      <c r="P63">
        <v>1.9</v>
      </c>
      <c r="Q63">
        <v>36</v>
      </c>
      <c r="R63" s="716">
        <v>455</v>
      </c>
      <c r="S63" s="716">
        <v>250</v>
      </c>
      <c r="U63">
        <v>4.8</v>
      </c>
      <c r="V63">
        <v>2</v>
      </c>
      <c r="W63">
        <v>36</v>
      </c>
      <c r="AA63">
        <v>-1</v>
      </c>
      <c r="AB63">
        <v>-0.35</v>
      </c>
      <c r="AD63">
        <v>1</v>
      </c>
      <c r="AF63">
        <v>13.3</v>
      </c>
      <c r="AG63">
        <v>3</v>
      </c>
      <c r="AI63">
        <v>13.2</v>
      </c>
      <c r="AJ63">
        <v>3</v>
      </c>
    </row>
    <row r="64" spans="1:40" customFormat="1" ht="18" customHeight="1">
      <c r="A64">
        <v>58</v>
      </c>
      <c r="B64" t="s">
        <v>1353</v>
      </c>
      <c r="C64" t="s">
        <v>977</v>
      </c>
      <c r="D64" t="s">
        <v>2469</v>
      </c>
      <c r="E64" t="s">
        <v>2451</v>
      </c>
      <c r="F64" t="s">
        <v>1396</v>
      </c>
      <c r="G64">
        <v>1999</v>
      </c>
      <c r="H64" t="s">
        <v>1207</v>
      </c>
      <c r="K64" t="s">
        <v>2623</v>
      </c>
      <c r="O64">
        <v>11.6</v>
      </c>
      <c r="P64">
        <v>7.9</v>
      </c>
      <c r="Q64">
        <v>36</v>
      </c>
      <c r="R64" s="716">
        <v>455</v>
      </c>
      <c r="S64" s="716">
        <v>250</v>
      </c>
      <c r="U64">
        <v>7.8</v>
      </c>
      <c r="V64">
        <v>4.9000000000000004</v>
      </c>
      <c r="W64">
        <v>36</v>
      </c>
      <c r="AA64">
        <v>-1</v>
      </c>
      <c r="AB64">
        <v>0.77</v>
      </c>
      <c r="AD64">
        <v>1</v>
      </c>
      <c r="AF64">
        <v>13.3</v>
      </c>
      <c r="AG64">
        <v>3</v>
      </c>
      <c r="AI64">
        <v>13.2</v>
      </c>
      <c r="AJ64">
        <v>3</v>
      </c>
    </row>
    <row r="65" spans="1:40" customFormat="1" ht="18" customHeight="1">
      <c r="A65">
        <v>59</v>
      </c>
      <c r="B65" t="s">
        <v>1353</v>
      </c>
      <c r="C65" t="s">
        <v>977</v>
      </c>
      <c r="D65" t="s">
        <v>2469</v>
      </c>
      <c r="E65" t="s">
        <v>2451</v>
      </c>
      <c r="F65" t="s">
        <v>1393</v>
      </c>
      <c r="G65">
        <v>2005</v>
      </c>
      <c r="H65" t="s">
        <v>1207</v>
      </c>
      <c r="K65" t="s">
        <v>2590</v>
      </c>
      <c r="O65">
        <v>50</v>
      </c>
      <c r="P65">
        <v>11</v>
      </c>
      <c r="Q65">
        <v>26</v>
      </c>
      <c r="R65" s="716">
        <v>489</v>
      </c>
      <c r="S65" s="716">
        <v>181</v>
      </c>
      <c r="U65">
        <v>57</v>
      </c>
      <c r="V65">
        <v>7</v>
      </c>
      <c r="W65">
        <v>21</v>
      </c>
      <c r="AA65">
        <v>-1</v>
      </c>
      <c r="AB65">
        <v>-0.98</v>
      </c>
      <c r="AD65">
        <v>1</v>
      </c>
      <c r="AF65">
        <v>12.3</v>
      </c>
      <c r="AG65">
        <v>3.7</v>
      </c>
      <c r="AI65">
        <v>11.8</v>
      </c>
      <c r="AJ65">
        <v>3.6</v>
      </c>
    </row>
    <row r="66" spans="1:40" customFormat="1" ht="18" customHeight="1">
      <c r="A66">
        <v>60</v>
      </c>
      <c r="B66" t="s">
        <v>1353</v>
      </c>
      <c r="C66" t="s">
        <v>977</v>
      </c>
      <c r="D66" t="s">
        <v>2469</v>
      </c>
      <c r="E66" t="s">
        <v>2451</v>
      </c>
      <c r="F66" t="s">
        <v>662</v>
      </c>
      <c r="G66">
        <v>2001</v>
      </c>
      <c r="H66" t="s">
        <v>1207</v>
      </c>
      <c r="K66" t="s">
        <v>631</v>
      </c>
      <c r="O66">
        <v>68.5</v>
      </c>
      <c r="P66">
        <v>14.01</v>
      </c>
      <c r="Q66">
        <v>23</v>
      </c>
      <c r="R66" s="716">
        <v>496</v>
      </c>
      <c r="S66" s="716">
        <v>230</v>
      </c>
      <c r="U66">
        <v>71.099999999999994</v>
      </c>
      <c r="V66">
        <v>9.81</v>
      </c>
      <c r="W66">
        <v>23</v>
      </c>
      <c r="AA66">
        <v>-1</v>
      </c>
      <c r="AB66">
        <v>-0.26</v>
      </c>
      <c r="AD66">
        <v>1</v>
      </c>
      <c r="AF66">
        <v>10.7</v>
      </c>
      <c r="AG66">
        <v>3.4</v>
      </c>
      <c r="AI66">
        <v>11.1</v>
      </c>
      <c r="AJ66">
        <v>3.7</v>
      </c>
    </row>
    <row r="67" spans="1:40" customFormat="1" ht="18" customHeight="1">
      <c r="A67">
        <v>61</v>
      </c>
      <c r="B67" t="s">
        <v>1353</v>
      </c>
      <c r="C67" t="s">
        <v>977</v>
      </c>
      <c r="D67" t="s">
        <v>2469</v>
      </c>
      <c r="E67" t="s">
        <v>2451</v>
      </c>
      <c r="F67" t="s">
        <v>662</v>
      </c>
      <c r="G67">
        <v>2001</v>
      </c>
      <c r="H67" t="s">
        <v>1207</v>
      </c>
      <c r="K67" t="s">
        <v>2590</v>
      </c>
      <c r="O67">
        <v>18.5</v>
      </c>
      <c r="P67">
        <v>18.82</v>
      </c>
      <c r="Q67">
        <v>23</v>
      </c>
      <c r="R67" s="716">
        <v>496</v>
      </c>
      <c r="S67" s="716">
        <v>230</v>
      </c>
      <c r="U67">
        <v>17.899999999999999</v>
      </c>
      <c r="V67">
        <v>13.44</v>
      </c>
      <c r="W67">
        <v>23</v>
      </c>
      <c r="AA67">
        <v>1</v>
      </c>
      <c r="AB67">
        <v>-0.04</v>
      </c>
      <c r="AD67">
        <v>1</v>
      </c>
      <c r="AF67">
        <v>10.7</v>
      </c>
      <c r="AG67">
        <v>3.4</v>
      </c>
      <c r="AI67">
        <v>11.1</v>
      </c>
      <c r="AJ67">
        <v>3.7</v>
      </c>
    </row>
    <row r="68" spans="1:40" customFormat="1" ht="18" customHeight="1">
      <c r="A68">
        <v>62</v>
      </c>
      <c r="B68" t="s">
        <v>1553</v>
      </c>
      <c r="C68" t="s">
        <v>977</v>
      </c>
      <c r="D68" t="s">
        <v>2469</v>
      </c>
      <c r="E68" t="s">
        <v>2451</v>
      </c>
      <c r="F68" t="s">
        <v>1389</v>
      </c>
      <c r="G68">
        <v>2007</v>
      </c>
      <c r="H68" t="s">
        <v>377</v>
      </c>
      <c r="K68" t="s">
        <v>1243</v>
      </c>
      <c r="M68" t="s">
        <v>1251</v>
      </c>
      <c r="O68">
        <v>8.9</v>
      </c>
      <c r="P68">
        <v>2.5299999999999998</v>
      </c>
      <c r="Q68">
        <v>15</v>
      </c>
      <c r="R68" s="716">
        <v>660</v>
      </c>
      <c r="S68" s="716">
        <v>337</v>
      </c>
      <c r="U68">
        <v>10</v>
      </c>
      <c r="V68">
        <v>3</v>
      </c>
      <c r="W68">
        <v>20</v>
      </c>
      <c r="Y68">
        <v>0.41</v>
      </c>
      <c r="AA68">
        <v>-1</v>
      </c>
      <c r="AB68">
        <v>-0.37</v>
      </c>
      <c r="AD68">
        <v>1</v>
      </c>
      <c r="AF68">
        <v>14.8</v>
      </c>
      <c r="AG68">
        <v>3</v>
      </c>
    </row>
    <row r="69" spans="1:40" customFormat="1" ht="18" customHeight="1">
      <c r="A69">
        <v>63</v>
      </c>
      <c r="B69" t="s">
        <v>1553</v>
      </c>
      <c r="C69" t="s">
        <v>977</v>
      </c>
      <c r="D69" t="s">
        <v>2469</v>
      </c>
      <c r="E69" t="s">
        <v>2451</v>
      </c>
      <c r="F69" t="s">
        <v>1389</v>
      </c>
      <c r="G69">
        <v>2007</v>
      </c>
      <c r="H69" t="s">
        <v>377</v>
      </c>
      <c r="K69" t="s">
        <v>1244</v>
      </c>
      <c r="M69" t="s">
        <v>1251</v>
      </c>
      <c r="O69">
        <v>9.1999999999999993</v>
      </c>
      <c r="P69">
        <v>2.08</v>
      </c>
      <c r="Q69">
        <v>15</v>
      </c>
      <c r="R69" s="716">
        <v>660</v>
      </c>
      <c r="S69" s="716">
        <v>337</v>
      </c>
      <c r="U69">
        <v>10</v>
      </c>
      <c r="V69">
        <v>3</v>
      </c>
      <c r="W69">
        <v>20</v>
      </c>
      <c r="Y69">
        <v>0.31</v>
      </c>
      <c r="AA69">
        <v>-1</v>
      </c>
      <c r="AB69">
        <v>-0.26</v>
      </c>
      <c r="AD69">
        <v>1</v>
      </c>
      <c r="AF69">
        <v>14.8</v>
      </c>
      <c r="AG69">
        <v>3</v>
      </c>
    </row>
    <row r="70" spans="1:40" customFormat="1" ht="18" customHeight="1">
      <c r="A70">
        <v>64</v>
      </c>
      <c r="B70" t="s">
        <v>1553</v>
      </c>
      <c r="C70" t="s">
        <v>977</v>
      </c>
      <c r="D70" t="s">
        <v>2469</v>
      </c>
      <c r="E70" t="s">
        <v>2451</v>
      </c>
      <c r="F70" t="s">
        <v>1389</v>
      </c>
      <c r="G70">
        <v>2007</v>
      </c>
      <c r="H70" t="s">
        <v>377</v>
      </c>
      <c r="K70" t="s">
        <v>1245</v>
      </c>
      <c r="O70">
        <v>6.2</v>
      </c>
      <c r="P70">
        <v>3.87</v>
      </c>
      <c r="Q70">
        <v>15</v>
      </c>
      <c r="R70" s="716">
        <v>660</v>
      </c>
      <c r="S70" s="716">
        <v>337</v>
      </c>
      <c r="U70">
        <v>10</v>
      </c>
      <c r="V70">
        <v>3</v>
      </c>
      <c r="W70">
        <v>20</v>
      </c>
      <c r="Y70">
        <v>1.1100000000000001</v>
      </c>
      <c r="AA70">
        <v>-1</v>
      </c>
      <c r="AB70">
        <v>-1.25</v>
      </c>
      <c r="AD70">
        <v>1</v>
      </c>
      <c r="AF70">
        <v>14.8</v>
      </c>
      <c r="AG70">
        <v>3</v>
      </c>
    </row>
    <row r="71" spans="1:40" customFormat="1" ht="18" customHeight="1">
      <c r="A71">
        <v>65</v>
      </c>
      <c r="B71" t="s">
        <v>1553</v>
      </c>
      <c r="C71" t="s">
        <v>977</v>
      </c>
      <c r="D71" t="s">
        <v>2469</v>
      </c>
      <c r="E71" t="s">
        <v>2451</v>
      </c>
      <c r="F71" t="s">
        <v>1389</v>
      </c>
      <c r="G71">
        <v>2007</v>
      </c>
      <c r="H71" t="s">
        <v>1265</v>
      </c>
      <c r="K71" t="s">
        <v>1242</v>
      </c>
      <c r="M71" t="s">
        <v>1251</v>
      </c>
      <c r="O71">
        <v>8.1</v>
      </c>
      <c r="P71">
        <v>2.74</v>
      </c>
      <c r="Q71">
        <v>15</v>
      </c>
      <c r="R71" s="716">
        <v>660</v>
      </c>
      <c r="S71" s="716">
        <v>337</v>
      </c>
      <c r="U71">
        <v>10</v>
      </c>
      <c r="V71">
        <v>3</v>
      </c>
      <c r="W71">
        <v>20</v>
      </c>
      <c r="AA71">
        <v>-1</v>
      </c>
      <c r="AB71">
        <v>-0.63</v>
      </c>
      <c r="AD71">
        <v>1</v>
      </c>
      <c r="AF71">
        <v>14.8</v>
      </c>
      <c r="AG71">
        <v>3</v>
      </c>
    </row>
    <row r="72" spans="1:40" customFormat="1" ht="18" customHeight="1">
      <c r="A72">
        <v>66</v>
      </c>
      <c r="B72" t="s">
        <v>1553</v>
      </c>
      <c r="C72" t="s">
        <v>977</v>
      </c>
      <c r="D72" t="s">
        <v>2469</v>
      </c>
      <c r="E72" t="s">
        <v>2451</v>
      </c>
      <c r="F72" t="s">
        <v>1393</v>
      </c>
      <c r="G72">
        <v>2005</v>
      </c>
      <c r="H72" t="s">
        <v>1265</v>
      </c>
      <c r="O72">
        <v>45</v>
      </c>
      <c r="P72">
        <v>13</v>
      </c>
      <c r="Q72">
        <v>26</v>
      </c>
      <c r="R72" s="716">
        <v>489</v>
      </c>
      <c r="S72" s="716">
        <v>181</v>
      </c>
      <c r="U72">
        <v>53</v>
      </c>
      <c r="V72">
        <v>11</v>
      </c>
      <c r="W72">
        <v>21</v>
      </c>
      <c r="AA72">
        <v>-1</v>
      </c>
      <c r="AB72">
        <v>-0.72</v>
      </c>
      <c r="AD72">
        <v>1</v>
      </c>
      <c r="AF72">
        <v>12.3</v>
      </c>
      <c r="AG72">
        <v>3.7</v>
      </c>
      <c r="AI72">
        <v>11.8</v>
      </c>
      <c r="AJ72">
        <v>3.6</v>
      </c>
    </row>
    <row r="73" spans="1:40" customFormat="1" ht="18" customHeight="1">
      <c r="A73">
        <v>67</v>
      </c>
      <c r="B73" t="s">
        <v>1553</v>
      </c>
      <c r="C73" t="s">
        <v>977</v>
      </c>
      <c r="D73" t="s">
        <v>2469</v>
      </c>
      <c r="E73" t="s">
        <v>2451</v>
      </c>
      <c r="F73" t="s">
        <v>1502</v>
      </c>
      <c r="G73">
        <v>2001</v>
      </c>
      <c r="H73" t="s">
        <v>1207</v>
      </c>
      <c r="K73" t="s">
        <v>1401</v>
      </c>
      <c r="M73" t="s">
        <v>1136</v>
      </c>
      <c r="O73">
        <v>7.9</v>
      </c>
      <c r="P73">
        <v>7.1509999999999998</v>
      </c>
      <c r="Q73">
        <v>18</v>
      </c>
      <c r="R73" s="716" t="s">
        <v>1149</v>
      </c>
      <c r="S73" s="716"/>
      <c r="U73">
        <v>7.2</v>
      </c>
      <c r="V73">
        <v>5.89</v>
      </c>
      <c r="W73">
        <v>16</v>
      </c>
      <c r="AA73">
        <v>1</v>
      </c>
      <c r="AB73">
        <v>-0.77</v>
      </c>
      <c r="AC73" t="e">
        <v>#DIV/0!</v>
      </c>
      <c r="AD73">
        <v>1</v>
      </c>
      <c r="AF73">
        <v>17.88</v>
      </c>
      <c r="AG73">
        <v>2.74</v>
      </c>
      <c r="AI73">
        <v>16.32</v>
      </c>
      <c r="AJ73">
        <v>2.92</v>
      </c>
    </row>
    <row r="74" spans="1:40" customFormat="1" ht="18" customHeight="1">
      <c r="A74">
        <v>68</v>
      </c>
      <c r="B74" t="s">
        <v>1553</v>
      </c>
      <c r="C74" t="s">
        <v>977</v>
      </c>
      <c r="D74" t="s">
        <v>2469</v>
      </c>
      <c r="E74" t="s">
        <v>2451</v>
      </c>
      <c r="F74" t="s">
        <v>2124</v>
      </c>
      <c r="G74">
        <v>1995</v>
      </c>
      <c r="H74" t="s">
        <v>2130</v>
      </c>
      <c r="K74" t="s">
        <v>2131</v>
      </c>
      <c r="L74" t="s">
        <v>2145</v>
      </c>
      <c r="O74">
        <v>18.2</v>
      </c>
      <c r="P74">
        <v>3.43</v>
      </c>
      <c r="Q74">
        <v>10</v>
      </c>
      <c r="R74" s="716">
        <v>1014</v>
      </c>
      <c r="S74" s="716">
        <v>216</v>
      </c>
      <c r="U74">
        <v>24.5</v>
      </c>
      <c r="V74">
        <v>3.41</v>
      </c>
      <c r="W74">
        <v>10</v>
      </c>
      <c r="AA74">
        <v>-1</v>
      </c>
      <c r="AB74">
        <v>-1.77</v>
      </c>
      <c r="AD74">
        <v>1</v>
      </c>
      <c r="AF74">
        <v>20.6</v>
      </c>
      <c r="AG74">
        <v>3.8</v>
      </c>
      <c r="AH74" t="s">
        <v>2147</v>
      </c>
    </row>
    <row r="75" spans="1:40" customFormat="1" ht="18" customHeight="1">
      <c r="A75">
        <v>69</v>
      </c>
      <c r="B75" t="s">
        <v>1353</v>
      </c>
      <c r="C75" t="s">
        <v>977</v>
      </c>
      <c r="D75" t="s">
        <v>2470</v>
      </c>
      <c r="E75" t="s">
        <v>2451</v>
      </c>
      <c r="F75" t="s">
        <v>662</v>
      </c>
      <c r="G75">
        <v>2001</v>
      </c>
      <c r="H75" t="s">
        <v>1201</v>
      </c>
      <c r="K75" t="s">
        <v>887</v>
      </c>
      <c r="O75">
        <v>4.2</v>
      </c>
      <c r="P75">
        <v>2.35</v>
      </c>
      <c r="Q75">
        <v>23</v>
      </c>
      <c r="R75" s="716">
        <v>496</v>
      </c>
      <c r="S75" s="716">
        <v>230</v>
      </c>
      <c r="U75">
        <v>6.4</v>
      </c>
      <c r="V75">
        <v>3.45</v>
      </c>
      <c r="W75">
        <v>23</v>
      </c>
      <c r="AA75">
        <v>-1</v>
      </c>
      <c r="AB75">
        <v>-0.64</v>
      </c>
      <c r="AD75">
        <v>1</v>
      </c>
      <c r="AF75">
        <v>10.7</v>
      </c>
      <c r="AG75">
        <v>3.4</v>
      </c>
      <c r="AI75">
        <v>11.1</v>
      </c>
      <c r="AJ75">
        <v>3.7</v>
      </c>
    </row>
    <row r="76" spans="1:40" customFormat="1" ht="18" customHeight="1">
      <c r="A76">
        <v>70</v>
      </c>
      <c r="B76" t="s">
        <v>908</v>
      </c>
      <c r="C76" t="s">
        <v>977</v>
      </c>
      <c r="D76" t="s">
        <v>2470</v>
      </c>
      <c r="E76" t="s">
        <v>2451</v>
      </c>
      <c r="F76" t="s">
        <v>21</v>
      </c>
      <c r="G76">
        <v>2021</v>
      </c>
      <c r="H76" t="s">
        <v>1201</v>
      </c>
      <c r="K76" t="s">
        <v>22</v>
      </c>
      <c r="O76">
        <v>-0.4</v>
      </c>
      <c r="P76">
        <v>0.97</v>
      </c>
      <c r="Q76">
        <v>150</v>
      </c>
      <c r="R76" s="716">
        <v>908</v>
      </c>
      <c r="S76" s="716"/>
      <c r="U76">
        <v>0</v>
      </c>
      <c r="V76">
        <v>1</v>
      </c>
      <c r="W76">
        <v>76</v>
      </c>
      <c r="Y76" t="s">
        <v>23</v>
      </c>
      <c r="AA76">
        <v>-1</v>
      </c>
      <c r="AB76">
        <v>-0.44</v>
      </c>
      <c r="AC76">
        <v>0.97</v>
      </c>
      <c r="AD76">
        <v>1</v>
      </c>
      <c r="AK76">
        <v>1</v>
      </c>
      <c r="AM76" t="s">
        <v>24</v>
      </c>
    </row>
    <row r="77" spans="1:40" customFormat="1" ht="18" customHeight="1">
      <c r="A77">
        <v>71</v>
      </c>
      <c r="B77" t="s">
        <v>908</v>
      </c>
      <c r="C77" t="s">
        <v>977</v>
      </c>
      <c r="D77" t="s">
        <v>2470</v>
      </c>
      <c r="E77" t="s">
        <v>2451</v>
      </c>
      <c r="F77" t="s">
        <v>29</v>
      </c>
      <c r="G77">
        <v>2004</v>
      </c>
      <c r="H77" t="s">
        <v>1201</v>
      </c>
      <c r="K77" t="s">
        <v>30</v>
      </c>
      <c r="O77">
        <v>8</v>
      </c>
      <c r="P77">
        <v>1.64</v>
      </c>
      <c r="Q77">
        <v>20</v>
      </c>
      <c r="R77" s="716">
        <v>859</v>
      </c>
      <c r="S77" s="716"/>
      <c r="U77">
        <v>9.8000000000000007</v>
      </c>
      <c r="V77">
        <v>2.5299999999999998</v>
      </c>
      <c r="W77">
        <v>20</v>
      </c>
      <c r="Y77">
        <v>0.82</v>
      </c>
      <c r="AA77">
        <v>-1</v>
      </c>
      <c r="AB77">
        <v>-0.68</v>
      </c>
      <c r="AD77">
        <v>1</v>
      </c>
      <c r="AK77">
        <v>2</v>
      </c>
      <c r="AL77" t="s">
        <v>31</v>
      </c>
      <c r="AM77" t="s">
        <v>32</v>
      </c>
      <c r="AN77" t="s">
        <v>31</v>
      </c>
    </row>
    <row r="78" spans="1:40" customFormat="1" ht="18" customHeight="1">
      <c r="A78">
        <v>72</v>
      </c>
      <c r="B78" t="s">
        <v>908</v>
      </c>
      <c r="C78" t="s">
        <v>977</v>
      </c>
      <c r="D78" t="s">
        <v>2470</v>
      </c>
      <c r="E78" t="s">
        <v>2451</v>
      </c>
      <c r="F78" t="s">
        <v>37</v>
      </c>
      <c r="G78">
        <v>2007</v>
      </c>
      <c r="H78" t="s">
        <v>1201</v>
      </c>
      <c r="K78" t="s">
        <v>38</v>
      </c>
      <c r="O78">
        <v>39</v>
      </c>
      <c r="P78">
        <v>13.9</v>
      </c>
      <c r="Q78">
        <v>12</v>
      </c>
      <c r="R78" s="716" t="s">
        <v>24</v>
      </c>
      <c r="S78" s="716"/>
      <c r="U78">
        <v>41</v>
      </c>
      <c r="V78">
        <v>11.1</v>
      </c>
      <c r="W78">
        <v>12</v>
      </c>
      <c r="Y78">
        <v>0.16</v>
      </c>
      <c r="AA78">
        <v>-1</v>
      </c>
      <c r="AB78">
        <v>-0.17</v>
      </c>
      <c r="AD78">
        <v>1</v>
      </c>
      <c r="AK78">
        <v>1</v>
      </c>
      <c r="AL78" t="s">
        <v>39</v>
      </c>
      <c r="AM78" t="s">
        <v>40</v>
      </c>
      <c r="AN78" t="s">
        <v>41</v>
      </c>
    </row>
    <row r="79" spans="1:40" customFormat="1" ht="18" customHeight="1">
      <c r="A79">
        <v>73</v>
      </c>
      <c r="B79" t="s">
        <v>908</v>
      </c>
      <c r="C79" t="s">
        <v>977</v>
      </c>
      <c r="D79" t="s">
        <v>2470</v>
      </c>
      <c r="E79" t="s">
        <v>2451</v>
      </c>
      <c r="F79" t="s">
        <v>2710</v>
      </c>
      <c r="G79">
        <v>2017</v>
      </c>
      <c r="H79" t="s">
        <v>1201</v>
      </c>
      <c r="K79" t="s">
        <v>30</v>
      </c>
      <c r="O79">
        <v>35.9</v>
      </c>
      <c r="P79">
        <v>11.4</v>
      </c>
      <c r="Q79">
        <v>37</v>
      </c>
      <c r="R79" s="716">
        <v>720</v>
      </c>
      <c r="S79" s="716"/>
      <c r="U79">
        <v>41.8</v>
      </c>
      <c r="V79">
        <v>12.9</v>
      </c>
      <c r="W79">
        <v>30</v>
      </c>
      <c r="Y79">
        <v>0.48</v>
      </c>
      <c r="AA79">
        <v>-1</v>
      </c>
      <c r="AB79">
        <v>-0.45</v>
      </c>
      <c r="AD79">
        <v>1</v>
      </c>
      <c r="AK79">
        <v>1</v>
      </c>
      <c r="AL79" t="s">
        <v>48</v>
      </c>
      <c r="AM79" t="s">
        <v>32</v>
      </c>
      <c r="AN79" t="s">
        <v>41</v>
      </c>
    </row>
    <row r="80" spans="1:40" customFormat="1" ht="18" customHeight="1">
      <c r="A80">
        <v>74</v>
      </c>
      <c r="B80" t="s">
        <v>908</v>
      </c>
      <c r="C80" t="s">
        <v>977</v>
      </c>
      <c r="D80" t="s">
        <v>2470</v>
      </c>
      <c r="E80" t="s">
        <v>2451</v>
      </c>
      <c r="F80" t="s">
        <v>51</v>
      </c>
      <c r="G80">
        <v>2021</v>
      </c>
      <c r="H80" t="s">
        <v>1201</v>
      </c>
      <c r="K80" t="s">
        <v>38</v>
      </c>
      <c r="O80">
        <v>16</v>
      </c>
      <c r="P80">
        <v>8</v>
      </c>
      <c r="Q80">
        <v>19</v>
      </c>
      <c r="R80" s="716">
        <v>890</v>
      </c>
      <c r="S80" s="716"/>
      <c r="U80">
        <v>21</v>
      </c>
      <c r="V80">
        <v>2.36</v>
      </c>
      <c r="W80">
        <v>25</v>
      </c>
      <c r="Y80">
        <v>0.85</v>
      </c>
      <c r="AA80">
        <v>-1</v>
      </c>
      <c r="AB80">
        <v>-2.08</v>
      </c>
      <c r="AD80">
        <v>1</v>
      </c>
      <c r="AK80">
        <v>2</v>
      </c>
      <c r="AM80" t="s">
        <v>32</v>
      </c>
      <c r="AN80" t="s">
        <v>31</v>
      </c>
    </row>
    <row r="81" spans="1:40" customFormat="1" ht="18" customHeight="1">
      <c r="A81">
        <v>75</v>
      </c>
      <c r="B81" t="s">
        <v>908</v>
      </c>
      <c r="C81" t="s">
        <v>977</v>
      </c>
      <c r="D81" t="s">
        <v>2470</v>
      </c>
      <c r="E81" t="s">
        <v>2451</v>
      </c>
      <c r="F81" t="s">
        <v>54</v>
      </c>
      <c r="G81">
        <v>2020</v>
      </c>
      <c r="H81" t="s">
        <v>1201</v>
      </c>
      <c r="K81" t="s">
        <v>30</v>
      </c>
      <c r="O81">
        <v>39</v>
      </c>
      <c r="P81">
        <v>11</v>
      </c>
      <c r="Q81">
        <v>19</v>
      </c>
      <c r="R81" s="716">
        <v>1042</v>
      </c>
      <c r="S81" s="716"/>
      <c r="U81">
        <v>47.5</v>
      </c>
      <c r="V81">
        <v>9.3000000000000007</v>
      </c>
      <c r="W81">
        <v>19</v>
      </c>
      <c r="Y81">
        <v>0.83</v>
      </c>
      <c r="AA81">
        <v>-1</v>
      </c>
      <c r="AB81">
        <v>-0.89</v>
      </c>
      <c r="AD81">
        <v>1</v>
      </c>
      <c r="AK81">
        <v>1</v>
      </c>
      <c r="AL81" t="s">
        <v>48</v>
      </c>
      <c r="AM81" t="s">
        <v>32</v>
      </c>
      <c r="AN81" t="s">
        <v>41</v>
      </c>
    </row>
    <row r="82" spans="1:40" customFormat="1" ht="18" customHeight="1">
      <c r="A82">
        <v>76</v>
      </c>
      <c r="B82" t="s">
        <v>1353</v>
      </c>
      <c r="C82" t="s">
        <v>977</v>
      </c>
      <c r="D82" t="s">
        <v>2470</v>
      </c>
      <c r="E82" t="s">
        <v>2451</v>
      </c>
      <c r="F82" t="s">
        <v>2461</v>
      </c>
      <c r="G82">
        <v>2002</v>
      </c>
      <c r="H82" t="s">
        <v>1201</v>
      </c>
      <c r="K82" t="s">
        <v>887</v>
      </c>
      <c r="L82" t="s">
        <v>1267</v>
      </c>
      <c r="M82" t="s">
        <v>1388</v>
      </c>
      <c r="O82">
        <v>21.9</v>
      </c>
      <c r="P82">
        <v>7.38</v>
      </c>
      <c r="Q82">
        <v>36</v>
      </c>
      <c r="R82" s="716">
        <v>490</v>
      </c>
      <c r="S82" s="716">
        <v>375</v>
      </c>
      <c r="U82">
        <v>24.4</v>
      </c>
      <c r="V82">
        <v>5.34</v>
      </c>
      <c r="W82">
        <v>69</v>
      </c>
      <c r="AA82">
        <v>-1</v>
      </c>
      <c r="AB82">
        <v>-0.47</v>
      </c>
      <c r="AD82">
        <v>1</v>
      </c>
      <c r="AF82">
        <v>11.18</v>
      </c>
      <c r="AG82">
        <v>3.4</v>
      </c>
      <c r="AI82">
        <v>10.29</v>
      </c>
      <c r="AJ82">
        <v>3.1</v>
      </c>
    </row>
    <row r="83" spans="1:40" customFormat="1" ht="18" customHeight="1">
      <c r="A83">
        <v>77</v>
      </c>
      <c r="B83" t="s">
        <v>1353</v>
      </c>
      <c r="C83" t="s">
        <v>977</v>
      </c>
      <c r="D83" t="s">
        <v>2470</v>
      </c>
      <c r="E83" t="s">
        <v>2451</v>
      </c>
      <c r="F83" t="s">
        <v>1392</v>
      </c>
      <c r="G83">
        <v>2018</v>
      </c>
      <c r="H83" t="s">
        <v>861</v>
      </c>
      <c r="K83" t="s">
        <v>887</v>
      </c>
      <c r="O83">
        <v>23.6</v>
      </c>
      <c r="P83">
        <v>8</v>
      </c>
      <c r="Q83">
        <v>11</v>
      </c>
      <c r="R83" s="716">
        <v>743</v>
      </c>
      <c r="S83" s="716">
        <v>84</v>
      </c>
      <c r="U83">
        <v>26.9</v>
      </c>
      <c r="V83">
        <v>9.4</v>
      </c>
      <c r="W83">
        <v>28</v>
      </c>
      <c r="AA83">
        <v>-1</v>
      </c>
      <c r="AB83">
        <v>-0.34</v>
      </c>
      <c r="AD83">
        <v>1</v>
      </c>
      <c r="AF83">
        <v>13</v>
      </c>
      <c r="AG83">
        <v>2.5</v>
      </c>
      <c r="AI83">
        <v>11.8</v>
      </c>
      <c r="AJ83">
        <v>2.5</v>
      </c>
    </row>
    <row r="84" spans="1:40" customFormat="1" ht="18" customHeight="1">
      <c r="A84">
        <v>78</v>
      </c>
      <c r="B84" t="s">
        <v>1553</v>
      </c>
      <c r="C84" t="s">
        <v>977</v>
      </c>
      <c r="D84" t="s">
        <v>2470</v>
      </c>
      <c r="E84" t="s">
        <v>2451</v>
      </c>
      <c r="F84" t="s">
        <v>1389</v>
      </c>
      <c r="G84">
        <v>2007</v>
      </c>
      <c r="H84" t="s">
        <v>861</v>
      </c>
      <c r="K84" t="s">
        <v>887</v>
      </c>
      <c r="M84" t="s">
        <v>1251</v>
      </c>
      <c r="O84">
        <v>10.5</v>
      </c>
      <c r="P84">
        <v>3.64</v>
      </c>
      <c r="Q84">
        <v>15</v>
      </c>
      <c r="R84" s="716">
        <v>660</v>
      </c>
      <c r="S84" s="716">
        <v>337</v>
      </c>
      <c r="U84">
        <v>10</v>
      </c>
      <c r="V84">
        <v>3</v>
      </c>
      <c r="W84">
        <v>20</v>
      </c>
      <c r="AA84">
        <v>-1</v>
      </c>
      <c r="AB84">
        <v>0.15</v>
      </c>
      <c r="AD84">
        <v>1</v>
      </c>
      <c r="AF84">
        <v>14.8</v>
      </c>
      <c r="AG84">
        <v>3</v>
      </c>
    </row>
    <row r="85" spans="1:40" customFormat="1" ht="18" customHeight="1">
      <c r="A85">
        <v>79</v>
      </c>
      <c r="B85" t="s">
        <v>1353</v>
      </c>
      <c r="C85" t="s">
        <v>977</v>
      </c>
      <c r="D85" t="s">
        <v>2470</v>
      </c>
      <c r="E85" t="s">
        <v>2451</v>
      </c>
      <c r="F85" t="s">
        <v>1391</v>
      </c>
      <c r="G85">
        <v>2011</v>
      </c>
      <c r="H85" t="s">
        <v>1201</v>
      </c>
      <c r="K85" t="s">
        <v>856</v>
      </c>
      <c r="O85">
        <v>1.9</v>
      </c>
      <c r="P85">
        <v>1.2</v>
      </c>
      <c r="Q85">
        <v>36</v>
      </c>
      <c r="R85" s="716">
        <v>509</v>
      </c>
      <c r="S85" s="716">
        <v>285</v>
      </c>
      <c r="U85">
        <v>2.2000000000000002</v>
      </c>
      <c r="V85">
        <v>1.4</v>
      </c>
      <c r="W85">
        <v>41</v>
      </c>
      <c r="AA85">
        <v>-1</v>
      </c>
      <c r="AB85">
        <v>-0.21</v>
      </c>
      <c r="AD85">
        <v>0</v>
      </c>
      <c r="AF85">
        <v>12.2</v>
      </c>
      <c r="AG85">
        <v>3.9</v>
      </c>
      <c r="AI85">
        <v>13.1</v>
      </c>
      <c r="AJ85">
        <v>3.2</v>
      </c>
    </row>
    <row r="86" spans="1:40" customFormat="1" ht="18" customHeight="1">
      <c r="A86">
        <v>80</v>
      </c>
      <c r="B86" t="s">
        <v>1353</v>
      </c>
      <c r="C86" t="s">
        <v>977</v>
      </c>
      <c r="D86" t="s">
        <v>2470</v>
      </c>
      <c r="E86" t="s">
        <v>2451</v>
      </c>
      <c r="F86" t="s">
        <v>1391</v>
      </c>
      <c r="G86">
        <v>2011</v>
      </c>
      <c r="H86" t="s">
        <v>1201</v>
      </c>
      <c r="K86" t="s">
        <v>881</v>
      </c>
      <c r="O86">
        <v>5.2</v>
      </c>
      <c r="P86">
        <v>2.5</v>
      </c>
      <c r="Q86">
        <v>36</v>
      </c>
      <c r="R86" s="716">
        <v>509</v>
      </c>
      <c r="S86" s="716">
        <v>285</v>
      </c>
      <c r="U86">
        <v>7</v>
      </c>
      <c r="V86">
        <v>2.6</v>
      </c>
      <c r="W86">
        <v>41</v>
      </c>
      <c r="AA86">
        <v>-1</v>
      </c>
      <c r="AB86">
        <v>-0.69</v>
      </c>
      <c r="AD86">
        <v>0</v>
      </c>
      <c r="AF86">
        <v>12.2</v>
      </c>
      <c r="AG86">
        <v>3.9</v>
      </c>
      <c r="AI86">
        <v>13.1</v>
      </c>
      <c r="AJ86">
        <v>3.2</v>
      </c>
    </row>
    <row r="87" spans="1:40" customFormat="1" ht="18" customHeight="1">
      <c r="A87">
        <v>81</v>
      </c>
      <c r="B87" t="s">
        <v>1353</v>
      </c>
      <c r="C87" t="s">
        <v>977</v>
      </c>
      <c r="D87" t="s">
        <v>2470</v>
      </c>
      <c r="E87" t="s">
        <v>2451</v>
      </c>
      <c r="F87" t="s">
        <v>1391</v>
      </c>
      <c r="G87">
        <v>2011</v>
      </c>
      <c r="H87" t="s">
        <v>1201</v>
      </c>
      <c r="K87" t="s">
        <v>884</v>
      </c>
      <c r="O87">
        <v>3.9</v>
      </c>
      <c r="P87">
        <v>2.5</v>
      </c>
      <c r="Q87">
        <v>36</v>
      </c>
      <c r="R87" s="716">
        <v>509</v>
      </c>
      <c r="S87" s="716">
        <v>285</v>
      </c>
      <c r="U87">
        <v>4.5999999999999996</v>
      </c>
      <c r="V87">
        <v>2.7</v>
      </c>
      <c r="W87">
        <v>41</v>
      </c>
      <c r="AA87">
        <v>-1</v>
      </c>
      <c r="AB87">
        <v>-0.26</v>
      </c>
      <c r="AD87">
        <v>0</v>
      </c>
      <c r="AF87">
        <v>12.2</v>
      </c>
      <c r="AG87">
        <v>3.9</v>
      </c>
      <c r="AI87">
        <v>13.1</v>
      </c>
      <c r="AJ87">
        <v>3.2</v>
      </c>
    </row>
    <row r="88" spans="1:40" customFormat="1" ht="18" customHeight="1">
      <c r="A88">
        <v>82</v>
      </c>
      <c r="B88" t="s">
        <v>1353</v>
      </c>
      <c r="C88" t="s">
        <v>977</v>
      </c>
      <c r="D88" t="s">
        <v>2470</v>
      </c>
      <c r="E88" t="s">
        <v>2451</v>
      </c>
      <c r="F88" t="s">
        <v>1391</v>
      </c>
      <c r="G88">
        <v>2011</v>
      </c>
      <c r="H88" t="s">
        <v>1201</v>
      </c>
      <c r="K88" t="s">
        <v>887</v>
      </c>
      <c r="O88">
        <v>8</v>
      </c>
      <c r="P88">
        <v>3.4</v>
      </c>
      <c r="Q88">
        <v>36</v>
      </c>
      <c r="R88" s="716">
        <v>509</v>
      </c>
      <c r="S88" s="716">
        <v>285</v>
      </c>
      <c r="U88">
        <v>10.3</v>
      </c>
      <c r="V88">
        <v>3.5</v>
      </c>
      <c r="W88">
        <v>41</v>
      </c>
      <c r="AA88">
        <v>-1</v>
      </c>
      <c r="AB88">
        <v>-0.65</v>
      </c>
      <c r="AD88">
        <v>1</v>
      </c>
      <c r="AF88">
        <v>12.2</v>
      </c>
      <c r="AG88">
        <v>3.9</v>
      </c>
      <c r="AI88">
        <v>13.1</v>
      </c>
      <c r="AJ88">
        <v>3.2</v>
      </c>
    </row>
    <row r="89" spans="1:40" customFormat="1" ht="18" customHeight="1">
      <c r="A89">
        <v>83</v>
      </c>
      <c r="B89" t="s">
        <v>908</v>
      </c>
      <c r="C89" t="s">
        <v>977</v>
      </c>
      <c r="D89" t="s">
        <v>2470</v>
      </c>
      <c r="E89" t="s">
        <v>2451</v>
      </c>
      <c r="F89" t="s">
        <v>2478</v>
      </c>
      <c r="G89">
        <v>2023</v>
      </c>
      <c r="H89" t="s">
        <v>1275</v>
      </c>
      <c r="K89" t="s">
        <v>30</v>
      </c>
      <c r="L89" t="s">
        <v>1627</v>
      </c>
      <c r="M89" t="s">
        <v>1628</v>
      </c>
      <c r="O89">
        <v>38.700000000000003</v>
      </c>
      <c r="P89">
        <v>12.81</v>
      </c>
      <c r="Q89">
        <v>20</v>
      </c>
      <c r="R89" s="716">
        <v>586</v>
      </c>
      <c r="S89" s="716">
        <v>420</v>
      </c>
      <c r="U89">
        <v>45.1</v>
      </c>
      <c r="V89">
        <v>7.99</v>
      </c>
      <c r="W89">
        <v>20</v>
      </c>
      <c r="X89" t="s">
        <v>1149</v>
      </c>
      <c r="Y89">
        <v>0.28000000000000003</v>
      </c>
      <c r="AA89">
        <v>-1</v>
      </c>
      <c r="AB89">
        <v>-0.6</v>
      </c>
      <c r="AD89">
        <v>0</v>
      </c>
      <c r="AF89" t="s">
        <v>1149</v>
      </c>
    </row>
    <row r="90" spans="1:40" customFormat="1" ht="18" customHeight="1">
      <c r="A90">
        <v>84</v>
      </c>
      <c r="B90" t="s">
        <v>1353</v>
      </c>
      <c r="C90" t="s">
        <v>977</v>
      </c>
      <c r="D90" t="s">
        <v>2470</v>
      </c>
      <c r="E90" t="s">
        <v>2451</v>
      </c>
      <c r="F90" t="s">
        <v>1395</v>
      </c>
      <c r="G90">
        <v>2000</v>
      </c>
      <c r="H90" t="s">
        <v>1275</v>
      </c>
      <c r="K90" t="s">
        <v>887</v>
      </c>
      <c r="L90" t="s">
        <v>1276</v>
      </c>
      <c r="O90">
        <v>19.8</v>
      </c>
      <c r="P90">
        <v>8.74</v>
      </c>
      <c r="Q90">
        <v>19</v>
      </c>
      <c r="R90" s="716">
        <v>777</v>
      </c>
      <c r="S90" s="716">
        <v>200</v>
      </c>
      <c r="U90">
        <v>20.7</v>
      </c>
      <c r="V90">
        <v>13.44</v>
      </c>
      <c r="W90">
        <v>19</v>
      </c>
      <c r="AA90">
        <v>-1</v>
      </c>
      <c r="AB90">
        <v>-0.06</v>
      </c>
      <c r="AD90">
        <v>1</v>
      </c>
      <c r="AF90">
        <v>9.4</v>
      </c>
      <c r="AG90">
        <v>2.9</v>
      </c>
      <c r="AI90">
        <v>9.3000000000000007</v>
      </c>
      <c r="AJ90">
        <v>2.9</v>
      </c>
    </row>
    <row r="91" spans="1:40" customFormat="1" ht="18" customHeight="1">
      <c r="A91">
        <v>85</v>
      </c>
      <c r="B91" t="s">
        <v>1353</v>
      </c>
      <c r="C91" t="s">
        <v>977</v>
      </c>
      <c r="D91" t="s">
        <v>2470</v>
      </c>
      <c r="E91" t="s">
        <v>2451</v>
      </c>
      <c r="F91" t="s">
        <v>2124</v>
      </c>
      <c r="G91">
        <v>1995</v>
      </c>
      <c r="H91" t="s">
        <v>1275</v>
      </c>
      <c r="K91" t="s">
        <v>2129</v>
      </c>
      <c r="L91" t="s">
        <v>2128</v>
      </c>
      <c r="O91">
        <v>18.8</v>
      </c>
      <c r="P91">
        <v>8.9499999999999993</v>
      </c>
      <c r="Q91">
        <v>10</v>
      </c>
      <c r="R91" s="716">
        <v>348</v>
      </c>
      <c r="S91" s="716"/>
      <c r="U91">
        <v>19</v>
      </c>
      <c r="V91">
        <v>9.6300000000000008</v>
      </c>
      <c r="W91">
        <v>10</v>
      </c>
      <c r="AA91">
        <v>-1</v>
      </c>
      <c r="AB91">
        <v>-0.02</v>
      </c>
      <c r="AD91">
        <v>1</v>
      </c>
      <c r="AF91">
        <v>7.53</v>
      </c>
      <c r="AG91" t="s">
        <v>24</v>
      </c>
      <c r="AI91">
        <v>7.59</v>
      </c>
      <c r="AJ91" t="s">
        <v>24</v>
      </c>
      <c r="AL91" t="s">
        <v>2075</v>
      </c>
    </row>
    <row r="92" spans="1:40" customFormat="1" ht="18" customHeight="1">
      <c r="A92">
        <v>86</v>
      </c>
      <c r="B92" t="s">
        <v>1553</v>
      </c>
      <c r="C92" t="s">
        <v>977</v>
      </c>
      <c r="D92" t="s">
        <v>2470</v>
      </c>
      <c r="E92" t="s">
        <v>2451</v>
      </c>
      <c r="F92" t="s">
        <v>2124</v>
      </c>
      <c r="G92">
        <v>1995</v>
      </c>
      <c r="H92" t="s">
        <v>1275</v>
      </c>
      <c r="K92" t="s">
        <v>2129</v>
      </c>
      <c r="L92" t="s">
        <v>2128</v>
      </c>
      <c r="O92">
        <v>33.799999999999997</v>
      </c>
      <c r="P92">
        <v>9.43</v>
      </c>
      <c r="Q92">
        <v>10</v>
      </c>
      <c r="R92" s="716">
        <v>1014</v>
      </c>
      <c r="S92" s="716">
        <v>216</v>
      </c>
      <c r="U92">
        <v>38.9</v>
      </c>
      <c r="V92">
        <v>8.6300000000000008</v>
      </c>
      <c r="W92">
        <v>10</v>
      </c>
      <c r="AA92">
        <v>-1</v>
      </c>
      <c r="AB92">
        <v>-0.56999999999999995</v>
      </c>
      <c r="AD92">
        <v>1</v>
      </c>
      <c r="AF92">
        <v>20.6</v>
      </c>
      <c r="AG92">
        <v>3.8</v>
      </c>
      <c r="AH92" t="s">
        <v>2147</v>
      </c>
    </row>
    <row r="93" spans="1:40" customFormat="1" ht="18" customHeight="1">
      <c r="A93">
        <v>87</v>
      </c>
      <c r="B93" t="s">
        <v>908</v>
      </c>
      <c r="C93" t="s">
        <v>977</v>
      </c>
      <c r="D93" t="s">
        <v>2470</v>
      </c>
      <c r="E93" t="s">
        <v>2451</v>
      </c>
      <c r="F93" t="s">
        <v>21</v>
      </c>
      <c r="G93">
        <v>2021</v>
      </c>
      <c r="H93" t="s">
        <v>25</v>
      </c>
      <c r="K93" t="s">
        <v>640</v>
      </c>
      <c r="O93">
        <v>0.1</v>
      </c>
      <c r="P93">
        <v>1</v>
      </c>
      <c r="Q93">
        <v>150</v>
      </c>
      <c r="R93" s="716">
        <v>908</v>
      </c>
      <c r="S93" s="716"/>
      <c r="U93">
        <v>0</v>
      </c>
      <c r="V93">
        <v>1</v>
      </c>
      <c r="W93">
        <v>76</v>
      </c>
      <c r="Y93" t="s">
        <v>23</v>
      </c>
      <c r="AA93">
        <v>-1</v>
      </c>
      <c r="AB93">
        <v>7.0000000000000007E-2</v>
      </c>
      <c r="AC93">
        <v>0.99</v>
      </c>
      <c r="AD93">
        <v>1</v>
      </c>
      <c r="AK93">
        <v>1</v>
      </c>
      <c r="AM93" t="s">
        <v>24</v>
      </c>
    </row>
    <row r="94" spans="1:40" customFormat="1" ht="18" customHeight="1">
      <c r="A94">
        <v>88</v>
      </c>
      <c r="B94" t="s">
        <v>908</v>
      </c>
      <c r="C94" t="s">
        <v>977</v>
      </c>
      <c r="D94" t="s">
        <v>2470</v>
      </c>
      <c r="E94" t="s">
        <v>2451</v>
      </c>
      <c r="F94" t="s">
        <v>37</v>
      </c>
      <c r="G94">
        <v>2007</v>
      </c>
      <c r="H94" t="s">
        <v>25</v>
      </c>
      <c r="K94" t="s">
        <v>1409</v>
      </c>
      <c r="O94">
        <v>21</v>
      </c>
      <c r="P94">
        <v>11.1</v>
      </c>
      <c r="Q94">
        <v>12</v>
      </c>
      <c r="R94" s="716" t="s">
        <v>24</v>
      </c>
      <c r="S94" s="716"/>
      <c r="U94">
        <v>23</v>
      </c>
      <c r="V94">
        <v>3.8</v>
      </c>
      <c r="W94">
        <v>12</v>
      </c>
      <c r="Y94">
        <v>0.24</v>
      </c>
      <c r="AA94">
        <v>-1</v>
      </c>
      <c r="AB94">
        <v>-0.51</v>
      </c>
      <c r="AD94">
        <v>1</v>
      </c>
      <c r="AK94">
        <v>1</v>
      </c>
      <c r="AL94" t="s">
        <v>39</v>
      </c>
      <c r="AM94" t="s">
        <v>40</v>
      </c>
      <c r="AN94" t="s">
        <v>41</v>
      </c>
    </row>
    <row r="95" spans="1:40" customFormat="1" ht="18" customHeight="1">
      <c r="A95">
        <v>89</v>
      </c>
      <c r="B95" t="s">
        <v>908</v>
      </c>
      <c r="C95" t="s">
        <v>977</v>
      </c>
      <c r="D95" t="s">
        <v>2470</v>
      </c>
      <c r="E95" t="s">
        <v>2451</v>
      </c>
      <c r="F95" t="s">
        <v>51</v>
      </c>
      <c r="G95">
        <v>2021</v>
      </c>
      <c r="H95" t="s">
        <v>25</v>
      </c>
      <c r="K95" t="s">
        <v>1409</v>
      </c>
      <c r="O95">
        <v>25</v>
      </c>
      <c r="P95">
        <v>9.61</v>
      </c>
      <c r="Q95">
        <v>19</v>
      </c>
      <c r="R95" s="716">
        <v>890</v>
      </c>
      <c r="S95" s="716"/>
      <c r="U95">
        <v>34</v>
      </c>
      <c r="V95">
        <v>4.72</v>
      </c>
      <c r="W95">
        <v>25</v>
      </c>
      <c r="Y95">
        <v>1.19</v>
      </c>
      <c r="AA95">
        <v>-1</v>
      </c>
      <c r="AB95">
        <v>-1.87</v>
      </c>
      <c r="AD95">
        <v>1</v>
      </c>
      <c r="AK95">
        <v>2</v>
      </c>
      <c r="AM95" t="s">
        <v>32</v>
      </c>
      <c r="AN95" t="s">
        <v>31</v>
      </c>
    </row>
    <row r="96" spans="1:40" customFormat="1" ht="18" customHeight="1">
      <c r="A96">
        <v>90</v>
      </c>
      <c r="B96" t="s">
        <v>1353</v>
      </c>
      <c r="C96" t="s">
        <v>977</v>
      </c>
      <c r="D96" t="s">
        <v>2470</v>
      </c>
      <c r="E96" t="s">
        <v>2451</v>
      </c>
      <c r="F96" t="s">
        <v>1392</v>
      </c>
      <c r="G96">
        <v>2018</v>
      </c>
      <c r="H96" t="s">
        <v>25</v>
      </c>
      <c r="K96" t="s">
        <v>887</v>
      </c>
      <c r="O96">
        <v>49.6</v>
      </c>
      <c r="P96">
        <v>11.5</v>
      </c>
      <c r="Q96">
        <v>11</v>
      </c>
      <c r="R96" s="716">
        <v>743</v>
      </c>
      <c r="S96" s="716">
        <v>84</v>
      </c>
      <c r="U96">
        <v>53.5</v>
      </c>
      <c r="V96">
        <v>13.4</v>
      </c>
      <c r="W96">
        <v>28</v>
      </c>
      <c r="AA96">
        <v>-1</v>
      </c>
      <c r="AB96">
        <v>-0.28999999999999998</v>
      </c>
      <c r="AD96">
        <v>1</v>
      </c>
      <c r="AF96">
        <v>13</v>
      </c>
      <c r="AG96">
        <v>2.5</v>
      </c>
      <c r="AI96">
        <v>11.8</v>
      </c>
      <c r="AJ96">
        <v>2.5</v>
      </c>
    </row>
    <row r="97" spans="1:40" customFormat="1" ht="18" customHeight="1">
      <c r="A97">
        <v>91</v>
      </c>
      <c r="B97" t="s">
        <v>1553</v>
      </c>
      <c r="C97" t="s">
        <v>977</v>
      </c>
      <c r="D97" t="s">
        <v>2470</v>
      </c>
      <c r="E97" t="s">
        <v>2451</v>
      </c>
      <c r="F97" t="s">
        <v>1389</v>
      </c>
      <c r="G97">
        <v>2007</v>
      </c>
      <c r="H97" t="s">
        <v>25</v>
      </c>
      <c r="K97" t="s">
        <v>1246</v>
      </c>
      <c r="M97" t="s">
        <v>1251</v>
      </c>
      <c r="O97">
        <v>9.4</v>
      </c>
      <c r="P97">
        <v>3.66</v>
      </c>
      <c r="Q97">
        <v>15</v>
      </c>
      <c r="R97" s="716">
        <v>660</v>
      </c>
      <c r="S97" s="716">
        <v>337</v>
      </c>
      <c r="U97">
        <v>10</v>
      </c>
      <c r="V97">
        <v>3</v>
      </c>
      <c r="W97">
        <v>20</v>
      </c>
      <c r="AA97">
        <v>-1</v>
      </c>
      <c r="AB97">
        <v>-0.2</v>
      </c>
      <c r="AD97">
        <v>0</v>
      </c>
      <c r="AF97">
        <v>14.8</v>
      </c>
      <c r="AG97">
        <v>3</v>
      </c>
    </row>
    <row r="98" spans="1:40" customFormat="1" ht="18" customHeight="1">
      <c r="A98">
        <v>92</v>
      </c>
      <c r="B98" t="s">
        <v>1553</v>
      </c>
      <c r="C98" t="s">
        <v>977</v>
      </c>
      <c r="D98" t="s">
        <v>2470</v>
      </c>
      <c r="E98" t="s">
        <v>2451</v>
      </c>
      <c r="F98" t="s">
        <v>1389</v>
      </c>
      <c r="G98">
        <v>2007</v>
      </c>
      <c r="H98" t="s">
        <v>25</v>
      </c>
      <c r="K98" t="s">
        <v>1247</v>
      </c>
      <c r="M98" t="s">
        <v>1251</v>
      </c>
      <c r="O98">
        <v>8.9</v>
      </c>
      <c r="P98">
        <v>4</v>
      </c>
      <c r="Q98">
        <v>15</v>
      </c>
      <c r="R98" s="716">
        <v>660</v>
      </c>
      <c r="S98" s="716">
        <v>337</v>
      </c>
      <c r="U98">
        <v>10</v>
      </c>
      <c r="V98">
        <v>3</v>
      </c>
      <c r="W98">
        <v>20</v>
      </c>
      <c r="AA98">
        <v>-1</v>
      </c>
      <c r="AB98">
        <v>-0.35</v>
      </c>
      <c r="AD98">
        <v>0</v>
      </c>
      <c r="AF98">
        <v>14.8</v>
      </c>
      <c r="AG98">
        <v>3</v>
      </c>
    </row>
    <row r="99" spans="1:40" customFormat="1" ht="18" customHeight="1">
      <c r="A99">
        <v>93</v>
      </c>
      <c r="B99" t="s">
        <v>1553</v>
      </c>
      <c r="C99" t="s">
        <v>977</v>
      </c>
      <c r="D99" t="s">
        <v>2470</v>
      </c>
      <c r="E99" t="s">
        <v>2451</v>
      </c>
      <c r="F99" t="s">
        <v>1389</v>
      </c>
      <c r="G99">
        <v>2007</v>
      </c>
      <c r="H99" t="s">
        <v>25</v>
      </c>
      <c r="K99" t="s">
        <v>887</v>
      </c>
      <c r="M99" t="s">
        <v>1251</v>
      </c>
      <c r="O99">
        <v>11</v>
      </c>
      <c r="P99">
        <v>3.92</v>
      </c>
      <c r="Q99">
        <v>15</v>
      </c>
      <c r="R99" s="716">
        <v>660</v>
      </c>
      <c r="S99" s="716">
        <v>337</v>
      </c>
      <c r="U99">
        <v>10</v>
      </c>
      <c r="V99">
        <v>3</v>
      </c>
      <c r="W99">
        <v>20</v>
      </c>
      <c r="AA99">
        <v>-1</v>
      </c>
      <c r="AB99">
        <v>0.33</v>
      </c>
      <c r="AD99">
        <v>1</v>
      </c>
      <c r="AF99">
        <v>14.8</v>
      </c>
      <c r="AG99">
        <v>3</v>
      </c>
    </row>
    <row r="100" spans="1:40" customFormat="1" ht="18" customHeight="1">
      <c r="A100">
        <v>94</v>
      </c>
      <c r="B100" t="s">
        <v>1353</v>
      </c>
      <c r="C100" t="s">
        <v>977</v>
      </c>
      <c r="D100" t="s">
        <v>2470</v>
      </c>
      <c r="E100" t="s">
        <v>2451</v>
      </c>
      <c r="F100" t="s">
        <v>1391</v>
      </c>
      <c r="G100">
        <v>2011</v>
      </c>
      <c r="H100" t="s">
        <v>25</v>
      </c>
      <c r="K100" t="s">
        <v>856</v>
      </c>
      <c r="O100">
        <v>4.0999999999999996</v>
      </c>
      <c r="P100">
        <v>1.85</v>
      </c>
      <c r="Q100">
        <v>36</v>
      </c>
      <c r="R100" s="716">
        <v>509</v>
      </c>
      <c r="S100" s="716">
        <v>285</v>
      </c>
      <c r="U100">
        <v>4.5</v>
      </c>
      <c r="V100">
        <v>1.85</v>
      </c>
      <c r="W100">
        <v>41</v>
      </c>
      <c r="AA100">
        <v>-1</v>
      </c>
      <c r="AB100">
        <v>-0.19</v>
      </c>
      <c r="AD100">
        <v>0</v>
      </c>
      <c r="AF100">
        <v>12.2</v>
      </c>
      <c r="AG100">
        <v>3.9</v>
      </c>
      <c r="AI100">
        <v>13.1</v>
      </c>
      <c r="AJ100">
        <v>3.2</v>
      </c>
    </row>
    <row r="101" spans="1:40" customFormat="1" ht="18" customHeight="1">
      <c r="A101">
        <v>95</v>
      </c>
      <c r="B101" t="s">
        <v>1353</v>
      </c>
      <c r="C101" t="s">
        <v>977</v>
      </c>
      <c r="D101" t="s">
        <v>2470</v>
      </c>
      <c r="E101" t="s">
        <v>2451</v>
      </c>
      <c r="F101" t="s">
        <v>1391</v>
      </c>
      <c r="G101">
        <v>2011</v>
      </c>
      <c r="H101" t="s">
        <v>25</v>
      </c>
      <c r="K101" t="s">
        <v>881</v>
      </c>
      <c r="O101">
        <v>7.9</v>
      </c>
      <c r="P101">
        <v>2.65</v>
      </c>
      <c r="Q101">
        <v>36</v>
      </c>
      <c r="R101" s="716">
        <v>509</v>
      </c>
      <c r="S101" s="716">
        <v>285</v>
      </c>
      <c r="U101">
        <v>8.9</v>
      </c>
      <c r="V101">
        <v>2.9</v>
      </c>
      <c r="W101">
        <v>41</v>
      </c>
      <c r="AA101">
        <v>-1</v>
      </c>
      <c r="AB101">
        <v>-0.36</v>
      </c>
      <c r="AD101">
        <v>0</v>
      </c>
      <c r="AF101">
        <v>12.2</v>
      </c>
      <c r="AG101">
        <v>3.9</v>
      </c>
      <c r="AI101">
        <v>13.1</v>
      </c>
      <c r="AJ101">
        <v>3.2</v>
      </c>
    </row>
    <row r="102" spans="1:40" customFormat="1" ht="18" customHeight="1">
      <c r="A102">
        <v>96</v>
      </c>
      <c r="B102" t="s">
        <v>1353</v>
      </c>
      <c r="C102" t="s">
        <v>977</v>
      </c>
      <c r="D102" t="s">
        <v>2470</v>
      </c>
      <c r="E102" t="s">
        <v>2451</v>
      </c>
      <c r="F102" t="s">
        <v>1391</v>
      </c>
      <c r="G102">
        <v>2011</v>
      </c>
      <c r="H102" t="s">
        <v>25</v>
      </c>
      <c r="K102" t="s">
        <v>884</v>
      </c>
      <c r="O102">
        <v>12</v>
      </c>
      <c r="P102">
        <v>5.85</v>
      </c>
      <c r="Q102">
        <v>36</v>
      </c>
      <c r="R102" s="716">
        <v>509</v>
      </c>
      <c r="S102" s="716">
        <v>285</v>
      </c>
      <c r="U102">
        <v>12.5</v>
      </c>
      <c r="V102">
        <v>5.8</v>
      </c>
      <c r="W102">
        <v>41</v>
      </c>
      <c r="AA102">
        <v>-1</v>
      </c>
      <c r="AB102">
        <v>-0.09</v>
      </c>
      <c r="AD102">
        <v>0</v>
      </c>
      <c r="AF102">
        <v>12.2</v>
      </c>
      <c r="AG102">
        <v>3.9</v>
      </c>
      <c r="AI102">
        <v>13.1</v>
      </c>
      <c r="AJ102">
        <v>3.2</v>
      </c>
    </row>
    <row r="103" spans="1:40" customFormat="1" ht="18" customHeight="1">
      <c r="A103">
        <v>97</v>
      </c>
      <c r="B103" t="s">
        <v>1353</v>
      </c>
      <c r="C103" t="s">
        <v>977</v>
      </c>
      <c r="D103" t="s">
        <v>2470</v>
      </c>
      <c r="E103" t="s">
        <v>2451</v>
      </c>
      <c r="F103" t="s">
        <v>1391</v>
      </c>
      <c r="G103">
        <v>2011</v>
      </c>
      <c r="H103" t="s">
        <v>25</v>
      </c>
      <c r="K103" t="s">
        <v>887</v>
      </c>
      <c r="O103">
        <v>16.899999999999999</v>
      </c>
      <c r="P103">
        <v>5.55</v>
      </c>
      <c r="Q103">
        <v>36</v>
      </c>
      <c r="R103" s="716">
        <v>509</v>
      </c>
      <c r="S103" s="716">
        <v>285</v>
      </c>
      <c r="U103">
        <v>17.899999999999999</v>
      </c>
      <c r="V103">
        <v>6.45</v>
      </c>
      <c r="W103">
        <v>41</v>
      </c>
      <c r="AA103">
        <v>-1</v>
      </c>
      <c r="AB103">
        <v>-0.15</v>
      </c>
      <c r="AD103">
        <v>1</v>
      </c>
      <c r="AF103">
        <v>12.2</v>
      </c>
      <c r="AG103">
        <v>3.9</v>
      </c>
      <c r="AI103">
        <v>13.1</v>
      </c>
      <c r="AJ103">
        <v>3.2</v>
      </c>
    </row>
    <row r="104" spans="1:40" customFormat="1" ht="18" customHeight="1">
      <c r="A104">
        <v>98</v>
      </c>
      <c r="B104" t="s">
        <v>1353</v>
      </c>
      <c r="C104" t="s">
        <v>977</v>
      </c>
      <c r="D104" t="s">
        <v>2470</v>
      </c>
      <c r="E104" t="s">
        <v>2451</v>
      </c>
      <c r="F104" t="s">
        <v>662</v>
      </c>
      <c r="G104">
        <v>2001</v>
      </c>
      <c r="H104" t="s">
        <v>25</v>
      </c>
      <c r="K104" t="s">
        <v>887</v>
      </c>
      <c r="O104">
        <v>16.3</v>
      </c>
      <c r="P104">
        <v>5.12</v>
      </c>
      <c r="Q104">
        <v>23</v>
      </c>
      <c r="R104" s="716">
        <v>496</v>
      </c>
      <c r="S104" s="716">
        <v>230</v>
      </c>
      <c r="U104">
        <v>16.600000000000001</v>
      </c>
      <c r="V104">
        <v>6.92</v>
      </c>
      <c r="W104">
        <v>23</v>
      </c>
      <c r="AA104">
        <v>-1</v>
      </c>
      <c r="AB104">
        <v>-0.04</v>
      </c>
      <c r="AD104">
        <v>1</v>
      </c>
      <c r="AF104">
        <v>10.7</v>
      </c>
      <c r="AG104">
        <v>3.4</v>
      </c>
      <c r="AI104">
        <v>11.1</v>
      </c>
      <c r="AJ104">
        <v>3.7</v>
      </c>
    </row>
    <row r="105" spans="1:40" customFormat="1" ht="18" customHeight="1">
      <c r="A105">
        <v>99</v>
      </c>
      <c r="B105" t="s">
        <v>908</v>
      </c>
      <c r="C105" t="s">
        <v>977</v>
      </c>
      <c r="D105" t="s">
        <v>2470</v>
      </c>
      <c r="E105" t="s">
        <v>2451</v>
      </c>
      <c r="F105" t="s">
        <v>2478</v>
      </c>
      <c r="G105">
        <v>2023</v>
      </c>
      <c r="H105" t="s">
        <v>49</v>
      </c>
      <c r="K105" t="s">
        <v>42</v>
      </c>
      <c r="L105" t="s">
        <v>1634</v>
      </c>
      <c r="M105" t="s">
        <v>1628</v>
      </c>
      <c r="O105">
        <v>23.1</v>
      </c>
      <c r="P105">
        <v>6.14</v>
      </c>
      <c r="Q105">
        <v>20</v>
      </c>
      <c r="R105" s="716">
        <v>586</v>
      </c>
      <c r="S105" s="716">
        <v>420</v>
      </c>
      <c r="U105">
        <v>26.3</v>
      </c>
      <c r="V105">
        <v>3.74</v>
      </c>
      <c r="W105">
        <v>20</v>
      </c>
      <c r="X105" t="s">
        <v>1149</v>
      </c>
      <c r="Y105">
        <v>0.28999999999999998</v>
      </c>
      <c r="AA105">
        <v>-1</v>
      </c>
      <c r="AB105">
        <v>-0.83</v>
      </c>
      <c r="AD105">
        <v>0</v>
      </c>
      <c r="AF105" t="s">
        <v>1149</v>
      </c>
    </row>
    <row r="106" spans="1:40" customFormat="1" ht="18" customHeight="1">
      <c r="A106">
        <v>100</v>
      </c>
      <c r="B106" t="s">
        <v>908</v>
      </c>
      <c r="C106" t="s">
        <v>977</v>
      </c>
      <c r="D106" t="s">
        <v>2470</v>
      </c>
      <c r="E106" t="s">
        <v>2451</v>
      </c>
      <c r="F106" t="s">
        <v>2710</v>
      </c>
      <c r="G106">
        <v>2017</v>
      </c>
      <c r="H106" t="s">
        <v>49</v>
      </c>
      <c r="K106" t="s">
        <v>1409</v>
      </c>
      <c r="O106">
        <v>21.4</v>
      </c>
      <c r="P106">
        <v>6.2</v>
      </c>
      <c r="Q106">
        <v>37</v>
      </c>
      <c r="R106" s="716">
        <v>720</v>
      </c>
      <c r="S106" s="716"/>
      <c r="U106">
        <v>25</v>
      </c>
      <c r="V106">
        <v>5</v>
      </c>
      <c r="W106">
        <v>30</v>
      </c>
      <c r="Y106">
        <v>0.64</v>
      </c>
      <c r="AA106">
        <v>-1</v>
      </c>
      <c r="AB106">
        <v>-0.71</v>
      </c>
      <c r="AD106">
        <v>1</v>
      </c>
      <c r="AK106">
        <v>1</v>
      </c>
      <c r="AL106" t="s">
        <v>48</v>
      </c>
      <c r="AM106" t="s">
        <v>32</v>
      </c>
      <c r="AN106" t="s">
        <v>41</v>
      </c>
    </row>
    <row r="107" spans="1:40" customFormat="1" ht="18" customHeight="1">
      <c r="A107">
        <v>101</v>
      </c>
      <c r="B107" t="s">
        <v>908</v>
      </c>
      <c r="C107" t="s">
        <v>977</v>
      </c>
      <c r="D107" t="s">
        <v>2470</v>
      </c>
      <c r="E107" t="s">
        <v>2451</v>
      </c>
      <c r="F107" t="s">
        <v>54</v>
      </c>
      <c r="G107">
        <v>2020</v>
      </c>
      <c r="H107" t="s">
        <v>49</v>
      </c>
      <c r="K107" t="s">
        <v>1409</v>
      </c>
      <c r="O107">
        <v>20.100000000000001</v>
      </c>
      <c r="P107">
        <v>4.8</v>
      </c>
      <c r="Q107">
        <v>19</v>
      </c>
      <c r="R107" s="716">
        <v>1042</v>
      </c>
      <c r="S107" s="716"/>
      <c r="U107">
        <v>23.5</v>
      </c>
      <c r="V107">
        <v>3.6</v>
      </c>
      <c r="W107">
        <v>19</v>
      </c>
      <c r="Y107">
        <v>0.8</v>
      </c>
      <c r="AA107">
        <v>-1</v>
      </c>
      <c r="AB107">
        <v>-0.92</v>
      </c>
      <c r="AD107">
        <v>1</v>
      </c>
      <c r="AK107">
        <v>1</v>
      </c>
      <c r="AL107" t="s">
        <v>48</v>
      </c>
      <c r="AM107" t="s">
        <v>32</v>
      </c>
      <c r="AN107" t="s">
        <v>41</v>
      </c>
    </row>
    <row r="108" spans="1:40" customFormat="1" ht="18" customHeight="1">
      <c r="A108">
        <v>102</v>
      </c>
      <c r="B108" t="s">
        <v>908</v>
      </c>
      <c r="C108" t="s">
        <v>2467</v>
      </c>
      <c r="D108" t="s">
        <v>2467</v>
      </c>
      <c r="E108" t="s">
        <v>2451</v>
      </c>
      <c r="F108" t="s">
        <v>29</v>
      </c>
      <c r="G108">
        <v>2004</v>
      </c>
      <c r="H108" t="s">
        <v>2489</v>
      </c>
      <c r="K108" t="s">
        <v>2581</v>
      </c>
      <c r="L108" t="s">
        <v>2140</v>
      </c>
      <c r="O108">
        <v>7</v>
      </c>
      <c r="P108">
        <v>1.67</v>
      </c>
      <c r="Q108">
        <v>20</v>
      </c>
      <c r="R108" s="716">
        <v>859</v>
      </c>
      <c r="S108" s="716"/>
      <c r="U108">
        <v>7.2</v>
      </c>
      <c r="V108">
        <v>1.1399999999999999</v>
      </c>
      <c r="W108">
        <v>20</v>
      </c>
      <c r="Y108">
        <v>0.14000000000000001</v>
      </c>
      <c r="AA108">
        <v>-1</v>
      </c>
      <c r="AB108">
        <v>-0.17</v>
      </c>
      <c r="AD108">
        <v>1</v>
      </c>
      <c r="AK108">
        <v>2</v>
      </c>
      <c r="AL108" t="s">
        <v>31</v>
      </c>
      <c r="AM108" t="s">
        <v>32</v>
      </c>
      <c r="AN108" t="s">
        <v>31</v>
      </c>
    </row>
    <row r="109" spans="1:40" customFormat="1" ht="18" customHeight="1">
      <c r="A109">
        <v>103</v>
      </c>
      <c r="B109" t="s">
        <v>908</v>
      </c>
      <c r="C109" t="s">
        <v>2467</v>
      </c>
      <c r="D109" t="s">
        <v>2467</v>
      </c>
      <c r="E109" t="s">
        <v>2451</v>
      </c>
      <c r="F109" t="s">
        <v>43</v>
      </c>
      <c r="G109">
        <v>2015</v>
      </c>
      <c r="H109" t="s">
        <v>2490</v>
      </c>
      <c r="K109" t="s">
        <v>59</v>
      </c>
      <c r="O109">
        <v>86.9</v>
      </c>
      <c r="P109">
        <v>23.1</v>
      </c>
      <c r="Q109">
        <v>14</v>
      </c>
      <c r="R109" s="716" t="s">
        <v>24</v>
      </c>
      <c r="S109" s="716"/>
      <c r="U109">
        <v>108.3</v>
      </c>
      <c r="V109">
        <v>4.3600000000000003</v>
      </c>
      <c r="W109">
        <v>14</v>
      </c>
      <c r="Y109">
        <v>1.29</v>
      </c>
      <c r="AA109">
        <v>-1</v>
      </c>
      <c r="AB109">
        <v>-4.7699999999999996</v>
      </c>
      <c r="AD109">
        <v>1</v>
      </c>
      <c r="AK109">
        <v>3</v>
      </c>
      <c r="AL109" t="s">
        <v>44</v>
      </c>
      <c r="AM109" t="s">
        <v>32</v>
      </c>
      <c r="AN109" t="s">
        <v>44</v>
      </c>
    </row>
    <row r="110" spans="1:40" customFormat="1" ht="18" customHeight="1">
      <c r="A110">
        <v>104</v>
      </c>
      <c r="B110" t="s">
        <v>908</v>
      </c>
      <c r="C110" t="s">
        <v>2467</v>
      </c>
      <c r="D110" t="s">
        <v>2467</v>
      </c>
      <c r="E110" t="s">
        <v>2451</v>
      </c>
      <c r="F110" t="s">
        <v>2478</v>
      </c>
      <c r="G110">
        <v>2023</v>
      </c>
      <c r="H110" t="s">
        <v>1710</v>
      </c>
      <c r="K110" t="s">
        <v>1697</v>
      </c>
      <c r="M110" t="s">
        <v>1711</v>
      </c>
      <c r="O110">
        <v>17.399999999999999</v>
      </c>
      <c r="P110">
        <v>5.82</v>
      </c>
      <c r="Q110">
        <v>20</v>
      </c>
      <c r="R110" s="716">
        <v>586</v>
      </c>
      <c r="S110" s="716">
        <v>420</v>
      </c>
      <c r="U110">
        <v>18.399999999999999</v>
      </c>
      <c r="V110">
        <v>4.5</v>
      </c>
      <c r="W110">
        <v>20</v>
      </c>
      <c r="X110" t="s">
        <v>1149</v>
      </c>
      <c r="AA110">
        <v>-1</v>
      </c>
      <c r="AB110">
        <v>-0.21</v>
      </c>
      <c r="AD110">
        <v>0</v>
      </c>
      <c r="AF110" t="s">
        <v>1149</v>
      </c>
    </row>
    <row r="111" spans="1:40" customFormat="1" ht="18" customHeight="1">
      <c r="A111">
        <v>105</v>
      </c>
      <c r="B111" t="s">
        <v>908</v>
      </c>
      <c r="C111" t="s">
        <v>2467</v>
      </c>
      <c r="D111" t="s">
        <v>2467</v>
      </c>
      <c r="E111" t="s">
        <v>2451</v>
      </c>
      <c r="F111" t="s">
        <v>62</v>
      </c>
      <c r="G111">
        <v>2005</v>
      </c>
      <c r="H111" t="s">
        <v>1532</v>
      </c>
      <c r="I111" t="s">
        <v>961</v>
      </c>
      <c r="J111" t="s">
        <v>961</v>
      </c>
      <c r="K111" t="s">
        <v>1537</v>
      </c>
      <c r="L111" t="s">
        <v>2312</v>
      </c>
      <c r="O111">
        <v>97.4</v>
      </c>
      <c r="P111">
        <v>3.85</v>
      </c>
      <c r="Q111">
        <v>25</v>
      </c>
      <c r="R111" s="716">
        <v>759</v>
      </c>
      <c r="S111" s="716"/>
      <c r="U111">
        <v>98.8</v>
      </c>
      <c r="V111">
        <v>2.1800000000000002</v>
      </c>
      <c r="W111">
        <v>25</v>
      </c>
      <c r="Y111">
        <v>0.45</v>
      </c>
      <c r="AA111">
        <v>-1</v>
      </c>
      <c r="AB111">
        <v>-0.63</v>
      </c>
      <c r="AD111">
        <v>0</v>
      </c>
      <c r="AF111" t="s">
        <v>2310</v>
      </c>
      <c r="AK111">
        <v>2</v>
      </c>
      <c r="AL111" t="s">
        <v>31</v>
      </c>
      <c r="AM111" t="s">
        <v>32</v>
      </c>
      <c r="AN111" t="s">
        <v>31</v>
      </c>
    </row>
    <row r="112" spans="1:40" customFormat="1" ht="18" customHeight="1">
      <c r="A112">
        <v>106</v>
      </c>
      <c r="B112" t="s">
        <v>908</v>
      </c>
      <c r="C112" t="s">
        <v>2467</v>
      </c>
      <c r="D112" t="s">
        <v>2467</v>
      </c>
      <c r="E112" t="s">
        <v>2451</v>
      </c>
      <c r="F112" t="s">
        <v>62</v>
      </c>
      <c r="G112">
        <v>2005</v>
      </c>
      <c r="H112" t="s">
        <v>1532</v>
      </c>
      <c r="I112" t="s">
        <v>1419</v>
      </c>
      <c r="J112" t="s">
        <v>1419</v>
      </c>
      <c r="K112" t="s">
        <v>1538</v>
      </c>
      <c r="L112" t="s">
        <v>2312</v>
      </c>
      <c r="O112">
        <v>1.1000000000000001</v>
      </c>
      <c r="P112">
        <v>0.34</v>
      </c>
      <c r="Q112">
        <v>25</v>
      </c>
      <c r="R112" s="716">
        <v>759</v>
      </c>
      <c r="S112" s="716"/>
      <c r="U112">
        <v>1</v>
      </c>
      <c r="V112">
        <v>0.33</v>
      </c>
      <c r="W112">
        <v>25</v>
      </c>
      <c r="Y112">
        <v>-0.33</v>
      </c>
      <c r="AA112">
        <v>1</v>
      </c>
      <c r="AB112">
        <v>-0.33</v>
      </c>
      <c r="AD112">
        <v>0</v>
      </c>
      <c r="AF112" t="s">
        <v>2310</v>
      </c>
      <c r="AK112">
        <v>2</v>
      </c>
      <c r="AL112" t="s">
        <v>31</v>
      </c>
      <c r="AM112" t="s">
        <v>32</v>
      </c>
      <c r="AN112" t="s">
        <v>31</v>
      </c>
    </row>
    <row r="113" spans="1:40" customFormat="1" ht="18" customHeight="1">
      <c r="A113">
        <v>107</v>
      </c>
      <c r="B113" t="s">
        <v>908</v>
      </c>
      <c r="C113" t="s">
        <v>2467</v>
      </c>
      <c r="D113" t="s">
        <v>2467</v>
      </c>
      <c r="E113" t="s">
        <v>2451</v>
      </c>
      <c r="F113" t="s">
        <v>63</v>
      </c>
      <c r="G113">
        <v>2007</v>
      </c>
      <c r="H113" t="s">
        <v>1532</v>
      </c>
      <c r="I113" t="s">
        <v>1419</v>
      </c>
      <c r="J113" t="s">
        <v>1419</v>
      </c>
      <c r="K113" t="s">
        <v>1536</v>
      </c>
      <c r="L113" t="s">
        <v>1539</v>
      </c>
      <c r="O113">
        <v>1</v>
      </c>
      <c r="P113">
        <v>0.24</v>
      </c>
      <c r="Q113">
        <v>25</v>
      </c>
      <c r="R113" s="716">
        <v>1286</v>
      </c>
      <c r="S113" s="716"/>
      <c r="U113">
        <v>1</v>
      </c>
      <c r="V113">
        <v>32</v>
      </c>
      <c r="W113">
        <v>45</v>
      </c>
      <c r="Y113">
        <v>0</v>
      </c>
      <c r="AA113">
        <v>1</v>
      </c>
      <c r="AB113">
        <v>0</v>
      </c>
      <c r="AD113">
        <v>0</v>
      </c>
      <c r="AF113" t="s">
        <v>2310</v>
      </c>
      <c r="AK113">
        <v>2</v>
      </c>
      <c r="AL113" t="s">
        <v>31</v>
      </c>
      <c r="AM113" t="s">
        <v>110</v>
      </c>
      <c r="AN113" t="s">
        <v>31</v>
      </c>
    </row>
    <row r="114" spans="1:40" customFormat="1" ht="18" customHeight="1">
      <c r="A114">
        <v>108</v>
      </c>
      <c r="B114" t="s">
        <v>908</v>
      </c>
      <c r="C114" t="s">
        <v>2467</v>
      </c>
      <c r="D114" t="s">
        <v>2467</v>
      </c>
      <c r="E114" t="s">
        <v>2451</v>
      </c>
      <c r="F114" t="s">
        <v>63</v>
      </c>
      <c r="G114">
        <v>2007</v>
      </c>
      <c r="H114" t="s">
        <v>1532</v>
      </c>
      <c r="I114" t="s">
        <v>961</v>
      </c>
      <c r="J114" t="s">
        <v>961</v>
      </c>
      <c r="K114" t="s">
        <v>1533</v>
      </c>
      <c r="L114" t="s">
        <v>1539</v>
      </c>
      <c r="O114">
        <v>97</v>
      </c>
      <c r="P114">
        <v>5.95</v>
      </c>
      <c r="Q114">
        <v>25</v>
      </c>
      <c r="R114" s="716">
        <v>1286</v>
      </c>
      <c r="S114" s="716"/>
      <c r="U114">
        <v>98</v>
      </c>
      <c r="V114">
        <v>2.61</v>
      </c>
      <c r="W114">
        <v>45</v>
      </c>
      <c r="Y114">
        <v>0.22</v>
      </c>
      <c r="AA114">
        <v>-1</v>
      </c>
      <c r="AB114">
        <v>-0.38</v>
      </c>
      <c r="AD114">
        <v>0</v>
      </c>
      <c r="AF114" t="s">
        <v>2310</v>
      </c>
      <c r="AK114">
        <v>2</v>
      </c>
      <c r="AL114" t="s">
        <v>31</v>
      </c>
      <c r="AM114" t="s">
        <v>110</v>
      </c>
      <c r="AN114" t="s">
        <v>31</v>
      </c>
    </row>
    <row r="115" spans="1:40" customFormat="1" ht="18" customHeight="1">
      <c r="A115">
        <v>109</v>
      </c>
      <c r="B115" t="s">
        <v>908</v>
      </c>
      <c r="C115" t="s">
        <v>2467</v>
      </c>
      <c r="D115" t="s">
        <v>2467</v>
      </c>
      <c r="E115" t="s">
        <v>2451</v>
      </c>
      <c r="F115" t="s">
        <v>29</v>
      </c>
      <c r="G115">
        <v>2004</v>
      </c>
      <c r="H115" t="s">
        <v>2491</v>
      </c>
      <c r="K115" t="s">
        <v>58</v>
      </c>
      <c r="O115">
        <v>0.5</v>
      </c>
      <c r="P115">
        <v>0.11</v>
      </c>
      <c r="Q115">
        <v>20</v>
      </c>
      <c r="R115" s="716">
        <v>859</v>
      </c>
      <c r="S115" s="716"/>
      <c r="U115">
        <v>0.6</v>
      </c>
      <c r="V115">
        <v>7.0000000000000007E-2</v>
      </c>
      <c r="W115">
        <v>20</v>
      </c>
      <c r="Y115">
        <v>0.33</v>
      </c>
      <c r="AA115">
        <v>-1</v>
      </c>
      <c r="AB115">
        <v>-0.42</v>
      </c>
      <c r="AD115">
        <v>1</v>
      </c>
      <c r="AK115">
        <v>2</v>
      </c>
      <c r="AL115" t="s">
        <v>31</v>
      </c>
      <c r="AM115" t="s">
        <v>32</v>
      </c>
      <c r="AN115" t="s">
        <v>31</v>
      </c>
    </row>
    <row r="116" spans="1:40" customFormat="1" ht="18" customHeight="1">
      <c r="A116">
        <v>110</v>
      </c>
      <c r="B116" t="s">
        <v>908</v>
      </c>
      <c r="C116" t="s">
        <v>2467</v>
      </c>
      <c r="D116" t="s">
        <v>2467</v>
      </c>
      <c r="E116" t="s">
        <v>2451</v>
      </c>
      <c r="F116" t="s">
        <v>43</v>
      </c>
      <c r="G116">
        <v>2015</v>
      </c>
      <c r="H116" t="s">
        <v>1552</v>
      </c>
      <c r="K116" t="s">
        <v>1421</v>
      </c>
      <c r="O116">
        <v>98.1</v>
      </c>
      <c r="P116">
        <v>13.04</v>
      </c>
      <c r="Q116">
        <v>14</v>
      </c>
      <c r="R116" s="716" t="s">
        <v>24</v>
      </c>
      <c r="S116" s="716"/>
      <c r="U116">
        <v>100.9</v>
      </c>
      <c r="V116">
        <v>8.8000000000000007</v>
      </c>
      <c r="W116">
        <v>14</v>
      </c>
      <c r="Y116">
        <v>0.24</v>
      </c>
      <c r="AA116">
        <v>-1</v>
      </c>
      <c r="AB116">
        <v>-0.3</v>
      </c>
      <c r="AD116">
        <v>1</v>
      </c>
      <c r="AK116">
        <v>3</v>
      </c>
      <c r="AL116" t="s">
        <v>44</v>
      </c>
      <c r="AM116" t="s">
        <v>32</v>
      </c>
      <c r="AN116" t="s">
        <v>44</v>
      </c>
    </row>
    <row r="117" spans="1:40" customFormat="1" ht="18" customHeight="1">
      <c r="A117">
        <v>111</v>
      </c>
      <c r="B117" t="s">
        <v>908</v>
      </c>
      <c r="C117" t="s">
        <v>2467</v>
      </c>
      <c r="D117" t="s">
        <v>2467</v>
      </c>
      <c r="E117" t="s">
        <v>2451</v>
      </c>
      <c r="F117" t="s">
        <v>2710</v>
      </c>
      <c r="G117">
        <v>2017</v>
      </c>
      <c r="H117" t="s">
        <v>1552</v>
      </c>
      <c r="K117" t="s">
        <v>1489</v>
      </c>
      <c r="O117">
        <v>20.6</v>
      </c>
      <c r="P117">
        <v>28.2</v>
      </c>
      <c r="Q117">
        <v>37</v>
      </c>
      <c r="R117" s="716">
        <v>720</v>
      </c>
      <c r="S117" s="716"/>
      <c r="U117">
        <v>2.9</v>
      </c>
      <c r="V117">
        <v>7.9</v>
      </c>
      <c r="W117">
        <v>30</v>
      </c>
      <c r="Y117">
        <v>-0.85</v>
      </c>
      <c r="AA117">
        <v>1</v>
      </c>
      <c r="AB117">
        <v>-2.21</v>
      </c>
      <c r="AD117">
        <v>1</v>
      </c>
      <c r="AK117">
        <v>1</v>
      </c>
      <c r="AL117" t="s">
        <v>48</v>
      </c>
      <c r="AM117" t="s">
        <v>32</v>
      </c>
      <c r="AN117" t="s">
        <v>41</v>
      </c>
    </row>
    <row r="118" spans="1:40" customFormat="1" ht="18" customHeight="1">
      <c r="A118">
        <v>112</v>
      </c>
      <c r="B118" t="s">
        <v>908</v>
      </c>
      <c r="C118" t="s">
        <v>2467</v>
      </c>
      <c r="D118" t="s">
        <v>2467</v>
      </c>
      <c r="E118" t="s">
        <v>2451</v>
      </c>
      <c r="F118" t="s">
        <v>51</v>
      </c>
      <c r="G118">
        <v>2021</v>
      </c>
      <c r="H118" t="s">
        <v>1552</v>
      </c>
      <c r="K118" t="s">
        <v>1421</v>
      </c>
      <c r="O118">
        <v>16</v>
      </c>
      <c r="P118">
        <v>3.2</v>
      </c>
      <c r="Q118">
        <v>19</v>
      </c>
      <c r="R118" s="716">
        <v>890</v>
      </c>
      <c r="S118" s="716"/>
      <c r="U118">
        <v>18</v>
      </c>
      <c r="V118">
        <v>1.57</v>
      </c>
      <c r="W118">
        <v>25</v>
      </c>
      <c r="Y118">
        <v>0.79</v>
      </c>
      <c r="AA118">
        <v>-1</v>
      </c>
      <c r="AB118">
        <v>-1.25</v>
      </c>
      <c r="AD118">
        <v>1</v>
      </c>
    </row>
    <row r="119" spans="1:40" customFormat="1" ht="18" customHeight="1">
      <c r="A119">
        <v>113</v>
      </c>
      <c r="B119" t="s">
        <v>1353</v>
      </c>
      <c r="C119" t="s">
        <v>2467</v>
      </c>
      <c r="D119" t="s">
        <v>2467</v>
      </c>
      <c r="E119" t="s">
        <v>2451</v>
      </c>
      <c r="F119" t="s">
        <v>2124</v>
      </c>
      <c r="G119">
        <v>1995</v>
      </c>
      <c r="H119" t="s">
        <v>2125</v>
      </c>
      <c r="K119" t="s">
        <v>2146</v>
      </c>
      <c r="L119" t="s">
        <v>2145</v>
      </c>
      <c r="O119">
        <v>4.9000000000000004</v>
      </c>
      <c r="P119">
        <v>1.52</v>
      </c>
      <c r="Q119">
        <v>10</v>
      </c>
      <c r="R119" s="716">
        <v>348</v>
      </c>
      <c r="S119" s="716"/>
      <c r="U119">
        <v>4.8</v>
      </c>
      <c r="V119">
        <v>1.55</v>
      </c>
      <c r="W119">
        <v>10</v>
      </c>
      <c r="AA119">
        <v>-1</v>
      </c>
      <c r="AB119">
        <v>0.06</v>
      </c>
      <c r="AD119">
        <v>1</v>
      </c>
      <c r="AF119">
        <v>7.53</v>
      </c>
      <c r="AG119" t="s">
        <v>24</v>
      </c>
      <c r="AI119">
        <v>7.59</v>
      </c>
      <c r="AJ119" t="s">
        <v>24</v>
      </c>
      <c r="AL119" t="s">
        <v>2075</v>
      </c>
    </row>
    <row r="120" spans="1:40" customFormat="1" ht="18" customHeight="1">
      <c r="A120">
        <v>114</v>
      </c>
      <c r="B120" t="s">
        <v>1353</v>
      </c>
      <c r="C120" t="s">
        <v>2467</v>
      </c>
      <c r="D120" t="s">
        <v>2467</v>
      </c>
      <c r="E120" t="s">
        <v>2451</v>
      </c>
      <c r="F120" t="s">
        <v>1500</v>
      </c>
      <c r="G120">
        <v>2020</v>
      </c>
      <c r="H120" t="s">
        <v>381</v>
      </c>
      <c r="L120" t="s">
        <v>1444</v>
      </c>
      <c r="N120" t="s">
        <v>1436</v>
      </c>
      <c r="O120">
        <v>10</v>
      </c>
      <c r="P120">
        <v>3.5</v>
      </c>
      <c r="Q120">
        <v>15</v>
      </c>
      <c r="R120" s="716">
        <v>289</v>
      </c>
      <c r="S120" s="716">
        <v>83</v>
      </c>
      <c r="U120">
        <v>10</v>
      </c>
      <c r="V120">
        <v>1.75</v>
      </c>
      <c r="W120">
        <v>14</v>
      </c>
      <c r="AA120">
        <v>-1</v>
      </c>
      <c r="AB120">
        <v>0</v>
      </c>
      <c r="AD120">
        <v>1</v>
      </c>
    </row>
    <row r="121" spans="1:40" customFormat="1" ht="18" customHeight="1">
      <c r="A121">
        <v>115</v>
      </c>
      <c r="B121" t="s">
        <v>1353</v>
      </c>
      <c r="C121" t="s">
        <v>2467</v>
      </c>
      <c r="D121" t="s">
        <v>2467</v>
      </c>
      <c r="E121" t="s">
        <v>2451</v>
      </c>
      <c r="F121" t="s">
        <v>1500</v>
      </c>
      <c r="G121">
        <v>2020</v>
      </c>
      <c r="H121" t="s">
        <v>383</v>
      </c>
      <c r="L121" s="510" t="s">
        <v>1540</v>
      </c>
      <c r="N121" t="s">
        <v>1436</v>
      </c>
      <c r="O121">
        <v>5</v>
      </c>
      <c r="P121">
        <v>1.25</v>
      </c>
      <c r="Q121">
        <v>15</v>
      </c>
      <c r="R121" s="716">
        <v>289</v>
      </c>
      <c r="S121" s="716">
        <v>83</v>
      </c>
      <c r="U121">
        <v>6</v>
      </c>
      <c r="V121">
        <v>1.25</v>
      </c>
      <c r="W121">
        <v>14</v>
      </c>
      <c r="AA121">
        <v>-1</v>
      </c>
      <c r="AB121">
        <v>-0.75</v>
      </c>
      <c r="AD121">
        <v>1</v>
      </c>
    </row>
    <row r="122" spans="1:40" customFormat="1" ht="18" customHeight="1">
      <c r="A122">
        <v>116</v>
      </c>
      <c r="B122" t="s">
        <v>1353</v>
      </c>
      <c r="C122" t="s">
        <v>2467</v>
      </c>
      <c r="D122" t="s">
        <v>2467</v>
      </c>
      <c r="E122" t="s">
        <v>2451</v>
      </c>
      <c r="F122" t="s">
        <v>1394</v>
      </c>
      <c r="G122">
        <v>2005</v>
      </c>
      <c r="H122" t="s">
        <v>2047</v>
      </c>
      <c r="L122" t="s">
        <v>1208</v>
      </c>
      <c r="O122">
        <v>54.2</v>
      </c>
      <c r="P122">
        <v>5.0999999999999996</v>
      </c>
      <c r="Q122">
        <v>14</v>
      </c>
      <c r="R122" s="716">
        <v>491</v>
      </c>
      <c r="S122" s="716">
        <v>149</v>
      </c>
      <c r="U122">
        <v>56.4</v>
      </c>
      <c r="V122">
        <v>2.72</v>
      </c>
      <c r="W122">
        <v>14</v>
      </c>
      <c r="AA122">
        <v>-1</v>
      </c>
      <c r="AB122">
        <v>-0.77</v>
      </c>
      <c r="AD122">
        <v>1</v>
      </c>
      <c r="AK122">
        <v>10.8</v>
      </c>
      <c r="AL122">
        <v>1.25</v>
      </c>
      <c r="AN122">
        <v>10.9</v>
      </c>
    </row>
    <row r="123" spans="1:40" customFormat="1" ht="18" customHeight="1">
      <c r="A123">
        <v>117</v>
      </c>
      <c r="B123" t="s">
        <v>1353</v>
      </c>
      <c r="C123" t="s">
        <v>2467</v>
      </c>
      <c r="D123" t="s">
        <v>2467</v>
      </c>
      <c r="E123" t="s">
        <v>2451</v>
      </c>
      <c r="F123" t="s">
        <v>1394</v>
      </c>
      <c r="G123">
        <v>2006</v>
      </c>
      <c r="H123" t="s">
        <v>1205</v>
      </c>
      <c r="L123" t="s">
        <v>1209</v>
      </c>
      <c r="O123">
        <v>9.6</v>
      </c>
      <c r="P123">
        <v>3.33</v>
      </c>
      <c r="Q123">
        <v>14</v>
      </c>
      <c r="R123" s="716">
        <v>491</v>
      </c>
      <c r="S123" s="716">
        <v>149</v>
      </c>
      <c r="U123">
        <v>15.2</v>
      </c>
      <c r="V123">
        <v>2.37</v>
      </c>
      <c r="W123">
        <v>14</v>
      </c>
      <c r="AA123">
        <v>-1</v>
      </c>
      <c r="AB123">
        <v>-2.2999999999999998</v>
      </c>
      <c r="AD123">
        <v>1</v>
      </c>
      <c r="AF123">
        <v>10.8</v>
      </c>
      <c r="AG123">
        <v>1.25</v>
      </c>
      <c r="AI123">
        <v>10.9</v>
      </c>
      <c r="AJ123">
        <v>1.3</v>
      </c>
    </row>
    <row r="124" spans="1:40" customFormat="1" ht="18" customHeight="1">
      <c r="A124">
        <v>118</v>
      </c>
      <c r="B124" t="s">
        <v>1353</v>
      </c>
      <c r="C124" t="s">
        <v>2467</v>
      </c>
      <c r="D124" t="s">
        <v>2467</v>
      </c>
      <c r="E124" t="s">
        <v>2451</v>
      </c>
      <c r="F124" t="s">
        <v>2461</v>
      </c>
      <c r="G124">
        <v>2002</v>
      </c>
      <c r="H124" t="s">
        <v>1552</v>
      </c>
      <c r="I124" t="s">
        <v>961</v>
      </c>
      <c r="J124" t="s">
        <v>961</v>
      </c>
      <c r="K124" t="s">
        <v>1159</v>
      </c>
      <c r="O124">
        <v>9.9</v>
      </c>
      <c r="P124">
        <v>1.68</v>
      </c>
      <c r="Q124">
        <v>36</v>
      </c>
      <c r="R124" s="716"/>
      <c r="S124" s="716"/>
      <c r="U124">
        <v>10.4</v>
      </c>
      <c r="V124">
        <v>1.2</v>
      </c>
      <c r="W124">
        <v>69</v>
      </c>
      <c r="AA124">
        <v>-1</v>
      </c>
      <c r="AB124">
        <v>-0.39</v>
      </c>
      <c r="AD124">
        <v>1</v>
      </c>
      <c r="AF124">
        <v>11.18</v>
      </c>
      <c r="AG124">
        <v>3.4</v>
      </c>
      <c r="AI124">
        <v>10.29</v>
      </c>
      <c r="AJ124">
        <v>3.1</v>
      </c>
    </row>
    <row r="125" spans="1:40" customFormat="1" ht="18" customHeight="1">
      <c r="A125">
        <v>119</v>
      </c>
      <c r="B125" t="s">
        <v>1353</v>
      </c>
      <c r="C125" t="s">
        <v>2467</v>
      </c>
      <c r="D125" t="s">
        <v>2467</v>
      </c>
      <c r="E125" t="s">
        <v>2451</v>
      </c>
      <c r="F125" t="s">
        <v>2461</v>
      </c>
      <c r="G125">
        <v>2002</v>
      </c>
      <c r="H125" t="s">
        <v>1552</v>
      </c>
      <c r="I125" t="s">
        <v>1419</v>
      </c>
      <c r="J125" t="s">
        <v>1419</v>
      </c>
      <c r="K125" t="s">
        <v>1355</v>
      </c>
      <c r="O125">
        <v>328.5</v>
      </c>
      <c r="P125">
        <v>119.88</v>
      </c>
      <c r="Q125">
        <v>36</v>
      </c>
      <c r="R125" s="716"/>
      <c r="S125" s="716"/>
      <c r="U125">
        <v>289.39999999999998</v>
      </c>
      <c r="V125">
        <v>61.2</v>
      </c>
      <c r="W125">
        <v>69</v>
      </c>
      <c r="AA125">
        <v>1</v>
      </c>
      <c r="AB125">
        <v>-0.63</v>
      </c>
      <c r="AD125">
        <v>1</v>
      </c>
      <c r="AF125">
        <v>11.18</v>
      </c>
      <c r="AG125">
        <v>3.4</v>
      </c>
      <c r="AI125">
        <v>10.29</v>
      </c>
      <c r="AJ125">
        <v>3.1</v>
      </c>
    </row>
    <row r="126" spans="1:40" customFormat="1" ht="18" customHeight="1">
      <c r="A126">
        <v>120</v>
      </c>
      <c r="B126" t="s">
        <v>1353</v>
      </c>
      <c r="C126" t="s">
        <v>2467</v>
      </c>
      <c r="D126" t="s">
        <v>2467</v>
      </c>
      <c r="E126" t="s">
        <v>2451</v>
      </c>
      <c r="F126" t="s">
        <v>2461</v>
      </c>
      <c r="G126">
        <v>2002</v>
      </c>
      <c r="H126" t="s">
        <v>1552</v>
      </c>
      <c r="K126" t="s">
        <v>1365</v>
      </c>
      <c r="O126">
        <v>7.8</v>
      </c>
      <c r="P126">
        <v>3.96</v>
      </c>
      <c r="Q126">
        <v>36</v>
      </c>
      <c r="R126" s="716"/>
      <c r="S126" s="716"/>
      <c r="U126">
        <v>7.9</v>
      </c>
      <c r="V126">
        <v>2.82</v>
      </c>
      <c r="W126">
        <v>69</v>
      </c>
      <c r="AA126">
        <v>1</v>
      </c>
      <c r="AB126">
        <v>0</v>
      </c>
      <c r="AD126">
        <v>0</v>
      </c>
    </row>
    <row r="127" spans="1:40" customFormat="1" ht="18" customHeight="1">
      <c r="A127">
        <v>121</v>
      </c>
      <c r="B127" t="s">
        <v>1353</v>
      </c>
      <c r="C127" t="s">
        <v>2467</v>
      </c>
      <c r="D127" t="s">
        <v>2467</v>
      </c>
      <c r="E127" t="s">
        <v>2451</v>
      </c>
      <c r="F127" t="s">
        <v>1392</v>
      </c>
      <c r="G127">
        <v>2018</v>
      </c>
      <c r="H127" t="s">
        <v>1552</v>
      </c>
      <c r="K127" t="s">
        <v>1406</v>
      </c>
      <c r="O127">
        <v>10.3</v>
      </c>
      <c r="P127">
        <v>1.8</v>
      </c>
      <c r="Q127">
        <v>11</v>
      </c>
      <c r="R127" s="716">
        <v>743</v>
      </c>
      <c r="S127" s="716">
        <v>84</v>
      </c>
      <c r="U127">
        <v>11.3</v>
      </c>
      <c r="V127">
        <v>1</v>
      </c>
      <c r="W127">
        <v>28</v>
      </c>
      <c r="AA127">
        <v>-1</v>
      </c>
      <c r="AB127">
        <v>-0.98</v>
      </c>
      <c r="AD127">
        <v>1</v>
      </c>
      <c r="AF127">
        <v>13</v>
      </c>
      <c r="AG127">
        <v>2.5</v>
      </c>
      <c r="AI127">
        <v>11.8</v>
      </c>
      <c r="AJ127">
        <v>2.5</v>
      </c>
    </row>
    <row r="128" spans="1:40" customFormat="1" ht="18" customHeight="1">
      <c r="A128">
        <v>122</v>
      </c>
      <c r="B128" t="s">
        <v>1353</v>
      </c>
      <c r="C128" t="s">
        <v>2467</v>
      </c>
      <c r="D128" t="s">
        <v>2467</v>
      </c>
      <c r="E128" t="s">
        <v>2451</v>
      </c>
      <c r="F128" t="s">
        <v>1394</v>
      </c>
      <c r="G128">
        <v>2004</v>
      </c>
      <c r="H128" t="s">
        <v>1552</v>
      </c>
      <c r="O128">
        <v>23.2</v>
      </c>
      <c r="P128">
        <v>5.22</v>
      </c>
      <c r="Q128">
        <v>14</v>
      </c>
      <c r="R128" s="716">
        <v>491</v>
      </c>
      <c r="S128" s="716">
        <v>149</v>
      </c>
      <c r="U128">
        <v>29.1</v>
      </c>
      <c r="V128">
        <v>2.92</v>
      </c>
      <c r="W128">
        <v>14</v>
      </c>
      <c r="AA128">
        <v>-1</v>
      </c>
      <c r="AB128">
        <v>-1.95</v>
      </c>
      <c r="AD128">
        <v>1</v>
      </c>
      <c r="AF128">
        <v>10.8</v>
      </c>
      <c r="AG128">
        <v>1.25</v>
      </c>
      <c r="AI128">
        <v>10.9</v>
      </c>
      <c r="AJ128">
        <v>1.3</v>
      </c>
    </row>
    <row r="129" spans="1:36" customFormat="1" ht="18" customHeight="1">
      <c r="A129">
        <v>123</v>
      </c>
      <c r="B129" t="s">
        <v>1353</v>
      </c>
      <c r="C129" t="s">
        <v>2467</v>
      </c>
      <c r="D129" t="s">
        <v>2467</v>
      </c>
      <c r="E129" t="s">
        <v>2451</v>
      </c>
      <c r="F129" t="s">
        <v>1394</v>
      </c>
      <c r="G129">
        <v>2007</v>
      </c>
      <c r="H129" t="s">
        <v>1206</v>
      </c>
      <c r="L129" t="s">
        <v>1210</v>
      </c>
      <c r="O129">
        <v>10.1</v>
      </c>
      <c r="P129">
        <v>2.2799999999999998</v>
      </c>
      <c r="Q129">
        <v>14</v>
      </c>
      <c r="R129" s="716">
        <v>491</v>
      </c>
      <c r="S129" s="716">
        <v>149</v>
      </c>
      <c r="U129">
        <v>11.1</v>
      </c>
      <c r="V129">
        <v>1.25</v>
      </c>
      <c r="W129">
        <v>14</v>
      </c>
      <c r="AA129">
        <v>-1</v>
      </c>
      <c r="AB129">
        <v>-0.72</v>
      </c>
      <c r="AD129">
        <v>1</v>
      </c>
      <c r="AF129">
        <v>10.8</v>
      </c>
      <c r="AG129">
        <v>1.25</v>
      </c>
      <c r="AI129">
        <v>10.9</v>
      </c>
      <c r="AJ129">
        <v>1.3</v>
      </c>
    </row>
    <row r="130" spans="1:36" customFormat="1" ht="18" customHeight="1">
      <c r="A130">
        <v>124</v>
      </c>
      <c r="B130" t="s">
        <v>1553</v>
      </c>
      <c r="C130" t="s">
        <v>2467</v>
      </c>
      <c r="D130" t="s">
        <v>2467</v>
      </c>
      <c r="E130" t="s">
        <v>2451</v>
      </c>
      <c r="F130" t="s">
        <v>1389</v>
      </c>
      <c r="G130">
        <v>2007</v>
      </c>
      <c r="H130" t="s">
        <v>1237</v>
      </c>
      <c r="M130" t="s">
        <v>1251</v>
      </c>
      <c r="O130">
        <v>7.5</v>
      </c>
      <c r="P130">
        <v>2.2000000000000002</v>
      </c>
      <c r="Q130">
        <v>15</v>
      </c>
      <c r="R130" s="716">
        <v>660</v>
      </c>
      <c r="S130" s="716">
        <v>337</v>
      </c>
      <c r="U130">
        <v>10</v>
      </c>
      <c r="V130">
        <v>3</v>
      </c>
      <c r="W130">
        <v>20</v>
      </c>
      <c r="AA130">
        <v>-1</v>
      </c>
      <c r="AB130">
        <v>-0.8</v>
      </c>
      <c r="AD130">
        <v>1</v>
      </c>
      <c r="AF130">
        <v>14.8</v>
      </c>
      <c r="AG130">
        <v>3</v>
      </c>
    </row>
    <row r="131" spans="1:36" customFormat="1" ht="18" customHeight="1">
      <c r="A131">
        <v>125</v>
      </c>
      <c r="B131" t="s">
        <v>1553</v>
      </c>
      <c r="C131" t="s">
        <v>2467</v>
      </c>
      <c r="D131" t="s">
        <v>2467</v>
      </c>
      <c r="E131" t="s">
        <v>2451</v>
      </c>
      <c r="F131" t="s">
        <v>1389</v>
      </c>
      <c r="G131">
        <v>2007</v>
      </c>
      <c r="H131" t="s">
        <v>1234</v>
      </c>
      <c r="I131">
        <v>482</v>
      </c>
      <c r="O131">
        <v>8.1</v>
      </c>
      <c r="P131">
        <v>2.09</v>
      </c>
      <c r="Q131">
        <v>15</v>
      </c>
      <c r="R131" s="716">
        <v>660</v>
      </c>
      <c r="S131" s="716">
        <v>337</v>
      </c>
      <c r="U131">
        <v>10</v>
      </c>
      <c r="V131">
        <v>3</v>
      </c>
      <c r="W131">
        <v>20</v>
      </c>
      <c r="AA131">
        <v>-1</v>
      </c>
      <c r="AB131">
        <v>-0.63</v>
      </c>
      <c r="AD131">
        <v>1</v>
      </c>
      <c r="AF131">
        <v>14.8</v>
      </c>
      <c r="AG131">
        <v>3</v>
      </c>
    </row>
    <row r="132" spans="1:36" customFormat="1" ht="18" customHeight="1">
      <c r="A132">
        <v>126</v>
      </c>
      <c r="B132" t="s">
        <v>1553</v>
      </c>
      <c r="C132" t="s">
        <v>2467</v>
      </c>
      <c r="D132" t="s">
        <v>2467</v>
      </c>
      <c r="E132" t="s">
        <v>2451</v>
      </c>
      <c r="F132" t="s">
        <v>1389</v>
      </c>
      <c r="G132">
        <v>2007</v>
      </c>
      <c r="H132" t="s">
        <v>1235</v>
      </c>
      <c r="M132" t="s">
        <v>1251</v>
      </c>
      <c r="O132">
        <v>7.7</v>
      </c>
      <c r="P132">
        <v>2.34</v>
      </c>
      <c r="Q132">
        <v>15</v>
      </c>
      <c r="R132" s="716">
        <v>660</v>
      </c>
      <c r="S132" s="716">
        <v>337</v>
      </c>
      <c r="U132">
        <v>10</v>
      </c>
      <c r="V132">
        <v>3</v>
      </c>
      <c r="W132">
        <v>20</v>
      </c>
      <c r="AA132">
        <v>-1</v>
      </c>
      <c r="AB132">
        <v>-0.74</v>
      </c>
      <c r="AD132">
        <v>1</v>
      </c>
      <c r="AF132">
        <v>14.8</v>
      </c>
      <c r="AG132">
        <v>3</v>
      </c>
    </row>
    <row r="133" spans="1:36" customFormat="1" ht="18" customHeight="1">
      <c r="A133">
        <v>127</v>
      </c>
      <c r="B133" t="s">
        <v>1553</v>
      </c>
      <c r="C133" t="s">
        <v>2467</v>
      </c>
      <c r="D133" t="s">
        <v>2467</v>
      </c>
      <c r="E133" t="s">
        <v>2451</v>
      </c>
      <c r="F133" t="s">
        <v>1389</v>
      </c>
      <c r="G133">
        <v>2007</v>
      </c>
      <c r="H133" t="s">
        <v>1236</v>
      </c>
      <c r="M133" t="s">
        <v>1251</v>
      </c>
      <c r="O133">
        <v>7.6</v>
      </c>
      <c r="P133">
        <v>1.72</v>
      </c>
      <c r="Q133">
        <v>15</v>
      </c>
      <c r="R133" s="716">
        <v>660</v>
      </c>
      <c r="S133" s="716">
        <v>337</v>
      </c>
      <c r="U133">
        <v>10</v>
      </c>
      <c r="V133">
        <v>3</v>
      </c>
      <c r="W133">
        <v>20</v>
      </c>
      <c r="AA133">
        <v>-1</v>
      </c>
      <c r="AB133">
        <v>-0.78</v>
      </c>
      <c r="AD133">
        <v>1</v>
      </c>
      <c r="AF133">
        <v>14.8</v>
      </c>
      <c r="AG133">
        <v>3</v>
      </c>
    </row>
    <row r="134" spans="1:36" customFormat="1" ht="18" customHeight="1">
      <c r="A134">
        <v>128</v>
      </c>
      <c r="B134" t="s">
        <v>1553</v>
      </c>
      <c r="C134" t="s">
        <v>2467</v>
      </c>
      <c r="D134" t="s">
        <v>2467</v>
      </c>
      <c r="E134" t="s">
        <v>2451</v>
      </c>
      <c r="F134" t="s">
        <v>1389</v>
      </c>
      <c r="G134">
        <v>2007</v>
      </c>
      <c r="H134" t="s">
        <v>1552</v>
      </c>
      <c r="K134" t="s">
        <v>1356</v>
      </c>
      <c r="M134" t="s">
        <v>1251</v>
      </c>
      <c r="O134">
        <v>8.8000000000000007</v>
      </c>
      <c r="P134">
        <v>2.93</v>
      </c>
      <c r="Q134">
        <v>15</v>
      </c>
      <c r="R134" s="716">
        <v>660</v>
      </c>
      <c r="S134" s="716">
        <v>337</v>
      </c>
      <c r="U134">
        <v>10</v>
      </c>
      <c r="V134">
        <v>3</v>
      </c>
      <c r="W134">
        <v>20</v>
      </c>
      <c r="AA134">
        <v>-1</v>
      </c>
      <c r="AB134">
        <v>-0.39</v>
      </c>
      <c r="AD134">
        <v>1</v>
      </c>
      <c r="AF134">
        <v>14.8</v>
      </c>
      <c r="AG134">
        <v>3</v>
      </c>
    </row>
    <row r="135" spans="1:36" customFormat="1" ht="18" customHeight="1">
      <c r="A135">
        <v>129</v>
      </c>
      <c r="B135" t="s">
        <v>1553</v>
      </c>
      <c r="C135" t="s">
        <v>2467</v>
      </c>
      <c r="D135" t="s">
        <v>2467</v>
      </c>
      <c r="E135" t="s">
        <v>2451</v>
      </c>
      <c r="F135" t="s">
        <v>1502</v>
      </c>
      <c r="G135">
        <v>2001</v>
      </c>
      <c r="H135" t="s">
        <v>1552</v>
      </c>
      <c r="L135" t="s">
        <v>327</v>
      </c>
      <c r="O135">
        <v>7.8</v>
      </c>
      <c r="P135">
        <v>1.8</v>
      </c>
      <c r="Q135">
        <v>18</v>
      </c>
      <c r="R135" s="716" t="s">
        <v>1149</v>
      </c>
      <c r="S135" s="716"/>
      <c r="U135">
        <v>8.6999999999999993</v>
      </c>
      <c r="V135">
        <v>1.6</v>
      </c>
      <c r="W135">
        <v>16</v>
      </c>
      <c r="AA135">
        <v>-1</v>
      </c>
      <c r="AB135">
        <v>-0.55000000000000004</v>
      </c>
      <c r="AC135">
        <v>0.14000000000000001</v>
      </c>
      <c r="AD135">
        <v>0</v>
      </c>
      <c r="AF135">
        <v>17.88</v>
      </c>
      <c r="AI135">
        <v>16.3</v>
      </c>
    </row>
    <row r="136" spans="1:36" customFormat="1" ht="18" customHeight="1">
      <c r="A136">
        <v>130</v>
      </c>
      <c r="B136" t="s">
        <v>1553</v>
      </c>
      <c r="C136" t="s">
        <v>2467</v>
      </c>
      <c r="D136" t="s">
        <v>2467</v>
      </c>
      <c r="E136" t="s">
        <v>2451</v>
      </c>
      <c r="F136" t="s">
        <v>1502</v>
      </c>
      <c r="G136">
        <v>2001</v>
      </c>
      <c r="H136" t="s">
        <v>1552</v>
      </c>
      <c r="K136" t="s">
        <v>1124</v>
      </c>
      <c r="L136" t="s">
        <v>1127</v>
      </c>
      <c r="O136">
        <v>3.2</v>
      </c>
      <c r="P136">
        <v>0.4</v>
      </c>
      <c r="Q136">
        <v>18</v>
      </c>
      <c r="R136" s="716" t="s">
        <v>1149</v>
      </c>
      <c r="S136" s="716"/>
      <c r="U136">
        <v>3</v>
      </c>
      <c r="V136">
        <v>0.1</v>
      </c>
      <c r="W136">
        <v>16</v>
      </c>
      <c r="AA136">
        <v>1</v>
      </c>
      <c r="AB136">
        <v>-1.95</v>
      </c>
      <c r="AC136">
        <v>1.08</v>
      </c>
      <c r="AD136">
        <v>0</v>
      </c>
      <c r="AF136">
        <v>17.88</v>
      </c>
      <c r="AI136">
        <v>16.3</v>
      </c>
    </row>
    <row r="137" spans="1:36" customFormat="1" ht="18" customHeight="1">
      <c r="A137">
        <v>131</v>
      </c>
      <c r="B137" t="s">
        <v>1553</v>
      </c>
      <c r="C137" t="s">
        <v>2467</v>
      </c>
      <c r="D137" t="s">
        <v>2467</v>
      </c>
      <c r="E137" t="s">
        <v>2451</v>
      </c>
      <c r="F137" t="s">
        <v>1502</v>
      </c>
      <c r="G137">
        <v>2001</v>
      </c>
      <c r="H137" t="s">
        <v>1552</v>
      </c>
      <c r="K137" t="s">
        <v>1125</v>
      </c>
      <c r="L137" t="s">
        <v>1127</v>
      </c>
      <c r="O137">
        <v>5.7</v>
      </c>
      <c r="P137">
        <v>1.2</v>
      </c>
      <c r="Q137">
        <v>18</v>
      </c>
      <c r="R137" s="716" t="s">
        <v>1149</v>
      </c>
      <c r="S137" s="716"/>
      <c r="U137">
        <v>5.4</v>
      </c>
      <c r="V137">
        <v>0.9</v>
      </c>
      <c r="W137">
        <v>16</v>
      </c>
      <c r="AA137">
        <v>1</v>
      </c>
      <c r="AB137">
        <v>-0.33</v>
      </c>
      <c r="AC137">
        <v>0.16</v>
      </c>
      <c r="AD137">
        <v>0</v>
      </c>
      <c r="AF137">
        <v>17.88</v>
      </c>
      <c r="AI137">
        <v>16.3</v>
      </c>
    </row>
    <row r="138" spans="1:36" customFormat="1" ht="18" customHeight="1">
      <c r="A138">
        <v>132</v>
      </c>
      <c r="B138" t="s">
        <v>1553</v>
      </c>
      <c r="C138" t="s">
        <v>2467</v>
      </c>
      <c r="D138" t="s">
        <v>2467</v>
      </c>
      <c r="E138" t="s">
        <v>2451</v>
      </c>
      <c r="F138" t="s">
        <v>1502</v>
      </c>
      <c r="G138">
        <v>2001</v>
      </c>
      <c r="H138" t="s">
        <v>1552</v>
      </c>
      <c r="K138" t="s">
        <v>1126</v>
      </c>
      <c r="L138" t="s">
        <v>1127</v>
      </c>
      <c r="O138">
        <v>7.3</v>
      </c>
      <c r="P138">
        <v>1.9</v>
      </c>
      <c r="Q138">
        <v>18</v>
      </c>
      <c r="R138" s="716" t="s">
        <v>1149</v>
      </c>
      <c r="S138" s="716"/>
      <c r="U138">
        <v>6.8</v>
      </c>
      <c r="V138">
        <v>1.36</v>
      </c>
      <c r="W138">
        <v>16</v>
      </c>
      <c r="AA138">
        <v>1</v>
      </c>
      <c r="AB138">
        <v>-0.36</v>
      </c>
      <c r="AC138">
        <v>0.18</v>
      </c>
      <c r="AD138">
        <v>0</v>
      </c>
      <c r="AF138">
        <v>17.88</v>
      </c>
      <c r="AI138">
        <v>16.3</v>
      </c>
    </row>
    <row r="139" spans="1:36" customFormat="1" ht="18" customHeight="1">
      <c r="A139">
        <v>133</v>
      </c>
      <c r="B139" t="s">
        <v>1553</v>
      </c>
      <c r="C139" t="s">
        <v>2467</v>
      </c>
      <c r="D139" t="s">
        <v>2467</v>
      </c>
      <c r="E139" t="s">
        <v>2451</v>
      </c>
      <c r="F139" t="s">
        <v>1502</v>
      </c>
      <c r="G139">
        <v>2001</v>
      </c>
      <c r="H139" t="s">
        <v>1552</v>
      </c>
      <c r="K139" t="s">
        <v>1506</v>
      </c>
      <c r="O139">
        <v>5.4</v>
      </c>
      <c r="P139">
        <v>1.32</v>
      </c>
      <c r="Q139">
        <v>18</v>
      </c>
      <c r="R139" s="716"/>
      <c r="S139" s="716"/>
      <c r="U139">
        <v>5.0999999999999996</v>
      </c>
      <c r="V139">
        <v>0.94299999999999995</v>
      </c>
      <c r="W139">
        <v>16</v>
      </c>
      <c r="AA139">
        <v>1</v>
      </c>
      <c r="AB139">
        <v>-0.34</v>
      </c>
      <c r="AC139">
        <v>0.39</v>
      </c>
      <c r="AD139">
        <v>1</v>
      </c>
    </row>
    <row r="140" spans="1:36" customFormat="1" ht="18" customHeight="1">
      <c r="A140">
        <v>134</v>
      </c>
      <c r="B140" t="s">
        <v>1553</v>
      </c>
      <c r="C140" t="s">
        <v>2467</v>
      </c>
      <c r="D140" t="s">
        <v>2467</v>
      </c>
      <c r="E140" t="s">
        <v>2451</v>
      </c>
      <c r="F140" t="s">
        <v>1502</v>
      </c>
      <c r="G140">
        <v>2001</v>
      </c>
      <c r="H140" t="s">
        <v>1552</v>
      </c>
      <c r="K140" t="s">
        <v>1124</v>
      </c>
      <c r="L140" t="s">
        <v>1128</v>
      </c>
      <c r="O140">
        <v>5911.9</v>
      </c>
      <c r="P140">
        <v>4383</v>
      </c>
      <c r="Q140">
        <v>18</v>
      </c>
      <c r="R140" s="716" t="s">
        <v>1149</v>
      </c>
      <c r="S140" s="716"/>
      <c r="U140">
        <v>6455.2</v>
      </c>
      <c r="V140">
        <v>5079.8999999999996</v>
      </c>
      <c r="W140">
        <v>16</v>
      </c>
      <c r="AA140">
        <v>1</v>
      </c>
      <c r="AB140">
        <v>0.1</v>
      </c>
      <c r="AC140">
        <v>0.1</v>
      </c>
      <c r="AD140">
        <v>0</v>
      </c>
      <c r="AF140">
        <v>17.88</v>
      </c>
      <c r="AI140">
        <v>16.3</v>
      </c>
    </row>
    <row r="141" spans="1:36" customFormat="1" ht="18" customHeight="1">
      <c r="A141">
        <v>135</v>
      </c>
      <c r="B141" t="s">
        <v>1553</v>
      </c>
      <c r="C141" t="s">
        <v>2467</v>
      </c>
      <c r="D141" t="s">
        <v>2467</v>
      </c>
      <c r="E141" t="s">
        <v>2451</v>
      </c>
      <c r="F141" t="s">
        <v>1502</v>
      </c>
      <c r="G141">
        <v>2001</v>
      </c>
      <c r="H141" t="s">
        <v>1552</v>
      </c>
      <c r="K141" t="s">
        <v>1125</v>
      </c>
      <c r="L141" t="s">
        <v>1128</v>
      </c>
      <c r="O141">
        <v>9535.7000000000007</v>
      </c>
      <c r="P141">
        <v>6772.7</v>
      </c>
      <c r="Q141">
        <v>18</v>
      </c>
      <c r="R141" s="716" t="s">
        <v>1149</v>
      </c>
      <c r="S141" s="716"/>
      <c r="U141">
        <v>8784.1</v>
      </c>
      <c r="V141">
        <v>6901.1</v>
      </c>
      <c r="W141">
        <v>16</v>
      </c>
      <c r="AA141">
        <v>1</v>
      </c>
      <c r="AB141">
        <v>-0.11</v>
      </c>
      <c r="AC141">
        <v>0.12</v>
      </c>
      <c r="AD141">
        <v>0</v>
      </c>
      <c r="AF141">
        <v>17.88</v>
      </c>
      <c r="AI141">
        <v>16.3</v>
      </c>
    </row>
    <row r="142" spans="1:36" customFormat="1" ht="18" customHeight="1">
      <c r="A142">
        <v>136</v>
      </c>
      <c r="B142" t="s">
        <v>1553</v>
      </c>
      <c r="C142" t="s">
        <v>2467</v>
      </c>
      <c r="D142" t="s">
        <v>2467</v>
      </c>
      <c r="E142" t="s">
        <v>2451</v>
      </c>
      <c r="F142" t="s">
        <v>1502</v>
      </c>
      <c r="G142">
        <v>2001</v>
      </c>
      <c r="H142" t="s">
        <v>1552</v>
      </c>
      <c r="K142" t="s">
        <v>1126</v>
      </c>
      <c r="L142" t="s">
        <v>1128</v>
      </c>
      <c r="O142">
        <v>8895</v>
      </c>
      <c r="P142">
        <v>5755.9</v>
      </c>
      <c r="Q142">
        <v>18</v>
      </c>
      <c r="R142" s="716" t="s">
        <v>1149</v>
      </c>
      <c r="S142" s="716"/>
      <c r="U142">
        <v>12552.7</v>
      </c>
      <c r="V142">
        <v>13248.5</v>
      </c>
      <c r="W142">
        <v>16</v>
      </c>
      <c r="AA142">
        <v>1</v>
      </c>
      <c r="AB142">
        <v>0.27</v>
      </c>
      <c r="AC142">
        <v>0.08</v>
      </c>
      <c r="AD142">
        <v>0</v>
      </c>
      <c r="AF142">
        <v>17.88</v>
      </c>
      <c r="AI142">
        <v>16.3</v>
      </c>
    </row>
    <row r="143" spans="1:36" customFormat="1" ht="18" customHeight="1">
      <c r="A143">
        <v>137</v>
      </c>
      <c r="B143" t="s">
        <v>1553</v>
      </c>
      <c r="C143" t="s">
        <v>2467</v>
      </c>
      <c r="D143" t="s">
        <v>2467</v>
      </c>
      <c r="E143" t="s">
        <v>2451</v>
      </c>
      <c r="F143" t="s">
        <v>1502</v>
      </c>
      <c r="G143">
        <v>2001</v>
      </c>
      <c r="H143" t="s">
        <v>1552</v>
      </c>
      <c r="K143" t="s">
        <v>1507</v>
      </c>
      <c r="O143">
        <v>8114.2</v>
      </c>
      <c r="P143">
        <v>5721.61</v>
      </c>
      <c r="Q143">
        <v>18</v>
      </c>
      <c r="R143" s="716"/>
      <c r="S143" s="716"/>
      <c r="U143">
        <v>9264</v>
      </c>
      <c r="V143">
        <v>9109.58</v>
      </c>
      <c r="W143">
        <v>16</v>
      </c>
      <c r="AA143">
        <v>1</v>
      </c>
      <c r="AB143">
        <v>0.12</v>
      </c>
      <c r="AC143">
        <v>0.1</v>
      </c>
      <c r="AD143">
        <v>1</v>
      </c>
    </row>
    <row r="144" spans="1:36" customFormat="1" ht="18" customHeight="1">
      <c r="A144">
        <v>138</v>
      </c>
      <c r="B144" t="s">
        <v>1553</v>
      </c>
      <c r="C144" t="s">
        <v>2467</v>
      </c>
      <c r="D144" t="s">
        <v>2467</v>
      </c>
      <c r="E144" t="s">
        <v>2451</v>
      </c>
      <c r="F144" t="s">
        <v>2124</v>
      </c>
      <c r="G144">
        <v>1995</v>
      </c>
      <c r="H144" t="s">
        <v>2125</v>
      </c>
      <c r="K144" t="s">
        <v>2150</v>
      </c>
      <c r="L144" t="s">
        <v>2145</v>
      </c>
      <c r="O144">
        <v>7.2</v>
      </c>
      <c r="P144">
        <v>1.4</v>
      </c>
      <c r="Q144">
        <v>10</v>
      </c>
      <c r="R144" s="716">
        <v>1014</v>
      </c>
      <c r="S144" s="716">
        <v>216</v>
      </c>
      <c r="U144">
        <v>8.8000000000000007</v>
      </c>
      <c r="V144">
        <v>1.23</v>
      </c>
      <c r="W144">
        <v>10</v>
      </c>
      <c r="AA144">
        <v>-1</v>
      </c>
      <c r="AB144">
        <v>-1.25</v>
      </c>
      <c r="AD144">
        <v>1</v>
      </c>
      <c r="AF144">
        <v>20.6</v>
      </c>
      <c r="AG144">
        <v>3.8</v>
      </c>
      <c r="AH144" t="s">
        <v>2147</v>
      </c>
    </row>
    <row r="145" spans="1:40" customFormat="1" ht="18" customHeight="1">
      <c r="A145">
        <v>139</v>
      </c>
      <c r="B145" t="s">
        <v>1353</v>
      </c>
      <c r="C145" t="s">
        <v>2468</v>
      </c>
      <c r="D145" t="s">
        <v>2468</v>
      </c>
      <c r="E145" t="s">
        <v>2451</v>
      </c>
      <c r="F145" t="s">
        <v>2461</v>
      </c>
      <c r="G145">
        <v>2008</v>
      </c>
      <c r="H145" t="s">
        <v>2143</v>
      </c>
      <c r="K145" t="s">
        <v>1159</v>
      </c>
      <c r="L145" t="s">
        <v>2144</v>
      </c>
      <c r="O145">
        <v>3.6</v>
      </c>
      <c r="P145">
        <v>1.7230000000000001</v>
      </c>
      <c r="Q145">
        <v>33</v>
      </c>
      <c r="R145" s="716"/>
      <c r="S145" s="716"/>
      <c r="U145">
        <v>4.5999999999999996</v>
      </c>
      <c r="V145">
        <v>1.7490000000000001</v>
      </c>
      <c r="W145">
        <v>34</v>
      </c>
      <c r="AA145">
        <v>-1</v>
      </c>
      <c r="AB145">
        <v>-0.59</v>
      </c>
      <c r="AD145">
        <v>1</v>
      </c>
      <c r="AF145">
        <v>11.18</v>
      </c>
      <c r="AG145">
        <v>3.4</v>
      </c>
      <c r="AI145">
        <v>10.3</v>
      </c>
      <c r="AJ145">
        <v>3.1</v>
      </c>
    </row>
    <row r="146" spans="1:40" customFormat="1" ht="18" customHeight="1">
      <c r="A146">
        <v>140</v>
      </c>
      <c r="B146" t="s">
        <v>908</v>
      </c>
      <c r="C146" t="s">
        <v>2468</v>
      </c>
      <c r="D146" t="s">
        <v>2468</v>
      </c>
      <c r="E146" t="s">
        <v>2451</v>
      </c>
      <c r="F146" t="s">
        <v>51</v>
      </c>
      <c r="G146">
        <v>2021</v>
      </c>
      <c r="H146" t="s">
        <v>1407</v>
      </c>
      <c r="K146" t="s">
        <v>1046</v>
      </c>
      <c r="O146">
        <v>144</v>
      </c>
      <c r="P146">
        <v>65.680000000000007</v>
      </c>
      <c r="Q146">
        <v>19</v>
      </c>
      <c r="R146" s="716">
        <v>890</v>
      </c>
      <c r="S146" s="716"/>
      <c r="U146">
        <v>258</v>
      </c>
      <c r="V146">
        <v>27.51</v>
      </c>
      <c r="W146">
        <v>25</v>
      </c>
      <c r="Y146">
        <v>2.2599999999999998</v>
      </c>
      <c r="AA146">
        <v>-1</v>
      </c>
      <c r="AB146">
        <v>-4.07</v>
      </c>
      <c r="AD146">
        <v>1</v>
      </c>
      <c r="AK146">
        <v>2</v>
      </c>
      <c r="AM146" t="s">
        <v>32</v>
      </c>
    </row>
    <row r="147" spans="1:40" customFormat="1" ht="18" customHeight="1">
      <c r="A147">
        <v>141</v>
      </c>
      <c r="B147" t="s">
        <v>908</v>
      </c>
      <c r="C147" t="s">
        <v>2468</v>
      </c>
      <c r="D147" t="s">
        <v>2468</v>
      </c>
      <c r="E147" t="s">
        <v>2451</v>
      </c>
      <c r="F147" t="s">
        <v>76</v>
      </c>
      <c r="G147">
        <v>2013</v>
      </c>
      <c r="H147" t="s">
        <v>1407</v>
      </c>
      <c r="K147" t="s">
        <v>77</v>
      </c>
      <c r="O147">
        <v>99.1</v>
      </c>
      <c r="P147">
        <v>14.9</v>
      </c>
      <c r="Q147">
        <v>57</v>
      </c>
      <c r="R147" s="716">
        <v>810</v>
      </c>
      <c r="S147" s="716"/>
      <c r="U147">
        <v>103.6</v>
      </c>
      <c r="V147">
        <v>13.6</v>
      </c>
      <c r="W147">
        <v>46</v>
      </c>
      <c r="Y147">
        <v>0.32</v>
      </c>
      <c r="AA147">
        <v>-1</v>
      </c>
      <c r="AB147">
        <v>-0.33</v>
      </c>
      <c r="AD147">
        <v>1</v>
      </c>
      <c r="AK147">
        <v>3</v>
      </c>
      <c r="AL147" t="s">
        <v>78</v>
      </c>
      <c r="AM147" t="s">
        <v>24</v>
      </c>
      <c r="AN147" t="s">
        <v>78</v>
      </c>
    </row>
    <row r="148" spans="1:40" customFormat="1" ht="18" customHeight="1">
      <c r="A148">
        <v>142</v>
      </c>
      <c r="B148" t="s">
        <v>1353</v>
      </c>
      <c r="C148" t="s">
        <v>2468</v>
      </c>
      <c r="D148" t="s">
        <v>2468</v>
      </c>
      <c r="E148" t="s">
        <v>2451</v>
      </c>
      <c r="F148" t="s">
        <v>1398</v>
      </c>
      <c r="G148">
        <v>1995</v>
      </c>
      <c r="H148" t="s">
        <v>1407</v>
      </c>
      <c r="K148" t="s">
        <v>961</v>
      </c>
      <c r="O148">
        <v>35.5</v>
      </c>
      <c r="P148">
        <v>26.6</v>
      </c>
      <c r="Q148">
        <v>20</v>
      </c>
      <c r="R148" s="716">
        <v>583</v>
      </c>
      <c r="S148" s="716">
        <v>377</v>
      </c>
      <c r="U148">
        <v>58.5</v>
      </c>
      <c r="V148">
        <v>34.9</v>
      </c>
      <c r="W148">
        <v>20</v>
      </c>
      <c r="AA148">
        <v>-1</v>
      </c>
      <c r="AB148">
        <v>-0.65</v>
      </c>
      <c r="AD148">
        <v>1</v>
      </c>
      <c r="AF148">
        <v>10.9</v>
      </c>
      <c r="AG148">
        <v>1.3</v>
      </c>
      <c r="AI148">
        <v>11</v>
      </c>
      <c r="AJ148">
        <v>1.1000000000000001</v>
      </c>
    </row>
    <row r="149" spans="1:40" customFormat="1" ht="18" customHeight="1">
      <c r="A149">
        <v>143</v>
      </c>
      <c r="B149" t="s">
        <v>1353</v>
      </c>
      <c r="C149" t="s">
        <v>2468</v>
      </c>
      <c r="D149" t="s">
        <v>2468</v>
      </c>
      <c r="E149" t="s">
        <v>2451</v>
      </c>
      <c r="F149" t="s">
        <v>1500</v>
      </c>
      <c r="G149">
        <v>2020</v>
      </c>
      <c r="H149" t="s">
        <v>386</v>
      </c>
      <c r="K149" t="s">
        <v>1443</v>
      </c>
      <c r="N149" t="s">
        <v>1436</v>
      </c>
      <c r="O149">
        <v>5</v>
      </c>
      <c r="P149">
        <v>1.25</v>
      </c>
      <c r="Q149">
        <v>15</v>
      </c>
      <c r="R149" s="716">
        <v>289</v>
      </c>
      <c r="S149" s="716">
        <v>83</v>
      </c>
      <c r="U149">
        <v>5</v>
      </c>
      <c r="V149">
        <v>0.75</v>
      </c>
      <c r="W149">
        <v>14</v>
      </c>
      <c r="AA149">
        <v>-1</v>
      </c>
      <c r="AB149">
        <v>0</v>
      </c>
      <c r="AD149">
        <v>1</v>
      </c>
    </row>
    <row r="150" spans="1:40" customFormat="1" ht="18" customHeight="1">
      <c r="A150">
        <v>144</v>
      </c>
      <c r="B150" t="s">
        <v>1353</v>
      </c>
      <c r="C150" t="s">
        <v>2468</v>
      </c>
      <c r="D150" t="s">
        <v>2468</v>
      </c>
      <c r="E150" t="s">
        <v>2451</v>
      </c>
      <c r="F150" t="s">
        <v>1932</v>
      </c>
      <c r="G150">
        <v>2023</v>
      </c>
      <c r="H150" t="s">
        <v>1684</v>
      </c>
      <c r="K150" t="s">
        <v>1685</v>
      </c>
      <c r="M150" t="s">
        <v>1631</v>
      </c>
      <c r="N150" t="s">
        <v>1740</v>
      </c>
      <c r="O150">
        <v>29.3</v>
      </c>
      <c r="P150">
        <v>1.79</v>
      </c>
      <c r="Q150">
        <v>27</v>
      </c>
      <c r="R150" s="716"/>
      <c r="S150" s="716"/>
      <c r="U150">
        <v>30</v>
      </c>
      <c r="V150">
        <v>0.6</v>
      </c>
      <c r="W150">
        <v>28</v>
      </c>
      <c r="AA150">
        <v>-1</v>
      </c>
      <c r="AB150">
        <v>-1.1299999999999999</v>
      </c>
      <c r="AD150">
        <v>0</v>
      </c>
      <c r="AF150">
        <v>11.1</v>
      </c>
      <c r="AG150">
        <v>2.98</v>
      </c>
      <c r="AI150">
        <v>9.82</v>
      </c>
      <c r="AJ150">
        <v>2.13</v>
      </c>
    </row>
    <row r="151" spans="1:40" customFormat="1" ht="18" customHeight="1">
      <c r="A151">
        <v>145</v>
      </c>
      <c r="B151" t="s">
        <v>1353</v>
      </c>
      <c r="C151" t="s">
        <v>2468</v>
      </c>
      <c r="D151" t="s">
        <v>2468</v>
      </c>
      <c r="E151" t="s">
        <v>2451</v>
      </c>
      <c r="F151" t="s">
        <v>2461</v>
      </c>
      <c r="G151">
        <v>2008</v>
      </c>
      <c r="H151" t="s">
        <v>514</v>
      </c>
      <c r="K151" t="s">
        <v>1159</v>
      </c>
      <c r="O151">
        <v>35.200000000000003</v>
      </c>
      <c r="P151">
        <v>4.5960000000000001</v>
      </c>
      <c r="Q151">
        <v>33</v>
      </c>
      <c r="R151" s="716"/>
      <c r="S151" s="716"/>
      <c r="U151">
        <v>35.9</v>
      </c>
      <c r="V151">
        <v>4.665</v>
      </c>
      <c r="W151">
        <v>34</v>
      </c>
      <c r="AA151">
        <v>-1</v>
      </c>
      <c r="AB151">
        <v>-0.15</v>
      </c>
      <c r="AD151">
        <v>1</v>
      </c>
      <c r="AF151">
        <v>11.18</v>
      </c>
      <c r="AG151">
        <v>3.4</v>
      </c>
      <c r="AI151">
        <v>10.3</v>
      </c>
      <c r="AJ151">
        <v>3.1</v>
      </c>
    </row>
    <row r="152" spans="1:40" customFormat="1" ht="18" customHeight="1">
      <c r="A152">
        <v>146</v>
      </c>
      <c r="B152" t="s">
        <v>1353</v>
      </c>
      <c r="C152" t="s">
        <v>2468</v>
      </c>
      <c r="D152" t="s">
        <v>2468</v>
      </c>
      <c r="E152" t="s">
        <v>2451</v>
      </c>
      <c r="F152" t="s">
        <v>1393</v>
      </c>
      <c r="G152">
        <v>2005</v>
      </c>
      <c r="H152" t="s">
        <v>1319</v>
      </c>
      <c r="K152" t="s">
        <v>1311</v>
      </c>
      <c r="M152" t="s">
        <v>1357</v>
      </c>
      <c r="O152">
        <v>56</v>
      </c>
      <c r="P152">
        <v>11</v>
      </c>
      <c r="Q152">
        <v>26</v>
      </c>
      <c r="R152" s="716">
        <v>489</v>
      </c>
      <c r="S152" s="716">
        <v>181</v>
      </c>
      <c r="U152">
        <v>53</v>
      </c>
      <c r="V152">
        <v>8</v>
      </c>
      <c r="W152">
        <v>21</v>
      </c>
      <c r="AA152">
        <v>-1</v>
      </c>
      <c r="AB152">
        <v>0.37</v>
      </c>
      <c r="AD152">
        <v>0</v>
      </c>
      <c r="AF152">
        <v>12.3</v>
      </c>
      <c r="AG152">
        <v>3.7</v>
      </c>
      <c r="AI152">
        <v>11.8</v>
      </c>
      <c r="AJ152">
        <v>3.6</v>
      </c>
    </row>
    <row r="153" spans="1:40" customFormat="1" ht="18" customHeight="1">
      <c r="A153">
        <v>147</v>
      </c>
      <c r="B153" t="s">
        <v>1353</v>
      </c>
      <c r="C153" t="s">
        <v>2468</v>
      </c>
      <c r="D153" t="s">
        <v>2468</v>
      </c>
      <c r="E153" t="s">
        <v>2451</v>
      </c>
      <c r="F153" t="s">
        <v>1393</v>
      </c>
      <c r="G153">
        <v>2005</v>
      </c>
      <c r="H153" t="s">
        <v>1319</v>
      </c>
      <c r="K153" t="s">
        <v>1312</v>
      </c>
      <c r="M153" t="s">
        <v>1357</v>
      </c>
      <c r="O153">
        <v>51</v>
      </c>
      <c r="P153">
        <v>10</v>
      </c>
      <c r="Q153">
        <v>26</v>
      </c>
      <c r="R153" s="716">
        <v>489</v>
      </c>
      <c r="S153" s="716">
        <v>181</v>
      </c>
      <c r="U153">
        <v>43</v>
      </c>
      <c r="V153">
        <v>9</v>
      </c>
      <c r="W153">
        <v>21</v>
      </c>
      <c r="AA153">
        <v>1</v>
      </c>
      <c r="AB153">
        <v>-0.87</v>
      </c>
      <c r="AD153">
        <v>0</v>
      </c>
      <c r="AF153">
        <v>12.3</v>
      </c>
      <c r="AG153">
        <v>3.7</v>
      </c>
      <c r="AI153">
        <v>11.8</v>
      </c>
      <c r="AJ153">
        <v>3.6</v>
      </c>
    </row>
    <row r="154" spans="1:40" customFormat="1" ht="18" customHeight="1">
      <c r="A154">
        <v>148</v>
      </c>
      <c r="B154" t="s">
        <v>1353</v>
      </c>
      <c r="C154" t="s">
        <v>2468</v>
      </c>
      <c r="D154" t="s">
        <v>2468</v>
      </c>
      <c r="E154" t="s">
        <v>2451</v>
      </c>
      <c r="F154" t="s">
        <v>1393</v>
      </c>
      <c r="G154">
        <v>2005</v>
      </c>
      <c r="H154" t="s">
        <v>1319</v>
      </c>
      <c r="K154" t="s">
        <v>1313</v>
      </c>
      <c r="M154" t="s">
        <v>1357</v>
      </c>
      <c r="O154">
        <v>56</v>
      </c>
      <c r="P154">
        <v>11</v>
      </c>
      <c r="Q154">
        <v>26</v>
      </c>
      <c r="R154" s="716">
        <v>489</v>
      </c>
      <c r="S154" s="716">
        <v>181</v>
      </c>
      <c r="U154">
        <v>50</v>
      </c>
      <c r="V154">
        <v>11</v>
      </c>
      <c r="W154">
        <v>21</v>
      </c>
      <c r="AA154">
        <v>1</v>
      </c>
      <c r="AB154">
        <v>-0.54</v>
      </c>
      <c r="AD154">
        <v>0</v>
      </c>
      <c r="AF154">
        <v>12.3</v>
      </c>
      <c r="AG154">
        <v>3.7</v>
      </c>
      <c r="AI154">
        <v>11.8</v>
      </c>
      <c r="AJ154">
        <v>3.6</v>
      </c>
    </row>
    <row r="155" spans="1:40" customFormat="1" ht="18" customHeight="1">
      <c r="A155">
        <v>149</v>
      </c>
      <c r="B155" t="s">
        <v>1353</v>
      </c>
      <c r="C155" t="s">
        <v>2468</v>
      </c>
      <c r="D155" t="s">
        <v>2468</v>
      </c>
      <c r="E155" t="s">
        <v>2451</v>
      </c>
      <c r="F155" t="s">
        <v>1393</v>
      </c>
      <c r="G155">
        <v>2005</v>
      </c>
      <c r="H155" t="s">
        <v>1319</v>
      </c>
      <c r="K155" t="s">
        <v>1321</v>
      </c>
      <c r="L155" t="s">
        <v>1320</v>
      </c>
      <c r="M155" t="s">
        <v>1357</v>
      </c>
      <c r="O155">
        <v>60</v>
      </c>
      <c r="P155">
        <v>11</v>
      </c>
      <c r="Q155">
        <v>26</v>
      </c>
      <c r="R155" s="716">
        <v>489</v>
      </c>
      <c r="S155" s="716">
        <v>181</v>
      </c>
      <c r="U155">
        <v>54</v>
      </c>
      <c r="V155">
        <v>12</v>
      </c>
      <c r="W155">
        <v>21</v>
      </c>
      <c r="AA155">
        <v>1</v>
      </c>
      <c r="AB155">
        <v>-0.49</v>
      </c>
      <c r="AD155">
        <v>0</v>
      </c>
      <c r="AF155">
        <v>12.3</v>
      </c>
      <c r="AG155">
        <v>3.7</v>
      </c>
      <c r="AI155">
        <v>11.8</v>
      </c>
      <c r="AJ155">
        <v>3.6</v>
      </c>
    </row>
    <row r="156" spans="1:40" customFormat="1" ht="18" customHeight="1">
      <c r="A156">
        <v>150</v>
      </c>
      <c r="B156" t="s">
        <v>1353</v>
      </c>
      <c r="C156" t="s">
        <v>2468</v>
      </c>
      <c r="D156" t="s">
        <v>2468</v>
      </c>
      <c r="E156" t="s">
        <v>2451</v>
      </c>
      <c r="F156" t="s">
        <v>1393</v>
      </c>
      <c r="G156">
        <v>2005</v>
      </c>
      <c r="H156" t="s">
        <v>1319</v>
      </c>
      <c r="K156" t="s">
        <v>1322</v>
      </c>
      <c r="L156" t="s">
        <v>1320</v>
      </c>
      <c r="M156" t="s">
        <v>1357</v>
      </c>
      <c r="O156">
        <v>53</v>
      </c>
      <c r="P156">
        <v>10</v>
      </c>
      <c r="Q156">
        <v>26</v>
      </c>
      <c r="R156" s="716">
        <v>489</v>
      </c>
      <c r="S156" s="716">
        <v>181</v>
      </c>
      <c r="U156">
        <v>54</v>
      </c>
      <c r="V156">
        <v>12</v>
      </c>
      <c r="W156">
        <v>21</v>
      </c>
      <c r="AA156">
        <v>1</v>
      </c>
      <c r="AB156">
        <v>0.08</v>
      </c>
      <c r="AD156">
        <v>0</v>
      </c>
      <c r="AF156">
        <v>12.3</v>
      </c>
      <c r="AG156">
        <v>3.7</v>
      </c>
      <c r="AI156">
        <v>11.8</v>
      </c>
      <c r="AJ156">
        <v>3.6</v>
      </c>
    </row>
    <row r="157" spans="1:40" customFormat="1" ht="18" customHeight="1">
      <c r="A157">
        <v>151</v>
      </c>
      <c r="B157" t="s">
        <v>1353</v>
      </c>
      <c r="C157" t="s">
        <v>2468</v>
      </c>
      <c r="D157" t="s">
        <v>2468</v>
      </c>
      <c r="E157" t="s">
        <v>2451</v>
      </c>
      <c r="F157" t="s">
        <v>1393</v>
      </c>
      <c r="G157">
        <v>2005</v>
      </c>
      <c r="H157" t="s">
        <v>1319</v>
      </c>
      <c r="K157" t="s">
        <v>1322</v>
      </c>
      <c r="L157" t="s">
        <v>554</v>
      </c>
      <c r="M157" t="s">
        <v>1357</v>
      </c>
      <c r="O157">
        <v>53</v>
      </c>
      <c r="P157">
        <v>11</v>
      </c>
      <c r="Q157">
        <v>26</v>
      </c>
      <c r="R157" s="716">
        <v>489</v>
      </c>
      <c r="S157" s="716">
        <v>181</v>
      </c>
      <c r="U157">
        <v>49</v>
      </c>
      <c r="V157">
        <v>9</v>
      </c>
      <c r="W157">
        <v>21</v>
      </c>
      <c r="AA157">
        <v>1</v>
      </c>
      <c r="AB157">
        <v>-0.44</v>
      </c>
      <c r="AD157">
        <v>0</v>
      </c>
      <c r="AF157">
        <v>12.3</v>
      </c>
      <c r="AG157">
        <v>3.7</v>
      </c>
      <c r="AI157">
        <v>11.8</v>
      </c>
      <c r="AJ157">
        <v>3.6</v>
      </c>
    </row>
    <row r="158" spans="1:40" customFormat="1" ht="18" customHeight="1">
      <c r="A158">
        <v>152</v>
      </c>
      <c r="B158" t="s">
        <v>1353</v>
      </c>
      <c r="C158" t="s">
        <v>2468</v>
      </c>
      <c r="D158" t="s">
        <v>2468</v>
      </c>
      <c r="E158" t="s">
        <v>2451</v>
      </c>
      <c r="F158" t="s">
        <v>1393</v>
      </c>
      <c r="G158">
        <v>2005</v>
      </c>
      <c r="H158" t="s">
        <v>1319</v>
      </c>
      <c r="K158" t="s">
        <v>2589</v>
      </c>
      <c r="M158" t="s">
        <v>1357</v>
      </c>
      <c r="O158">
        <v>53.5</v>
      </c>
      <c r="P158">
        <v>10.5</v>
      </c>
      <c r="Q158">
        <v>26</v>
      </c>
      <c r="R158" s="716">
        <v>489</v>
      </c>
      <c r="S158" s="716">
        <v>181</v>
      </c>
      <c r="U158">
        <v>48</v>
      </c>
      <c r="V158">
        <v>8.5</v>
      </c>
      <c r="W158">
        <v>21</v>
      </c>
      <c r="AA158">
        <v>1</v>
      </c>
      <c r="AB158">
        <v>-0.64</v>
      </c>
      <c r="AD158">
        <v>1</v>
      </c>
      <c r="AF158">
        <v>12.3</v>
      </c>
      <c r="AG158">
        <v>3.7</v>
      </c>
      <c r="AI158">
        <v>11.8</v>
      </c>
      <c r="AJ158">
        <v>3.6</v>
      </c>
    </row>
    <row r="159" spans="1:40" customFormat="1" ht="18" customHeight="1">
      <c r="A159">
        <v>153</v>
      </c>
      <c r="B159" t="s">
        <v>1553</v>
      </c>
      <c r="C159" t="s">
        <v>2468</v>
      </c>
      <c r="D159" t="s">
        <v>2468</v>
      </c>
      <c r="E159" t="s">
        <v>2451</v>
      </c>
      <c r="F159" t="s">
        <v>2471</v>
      </c>
      <c r="G159">
        <v>1987</v>
      </c>
      <c r="H159" t="s">
        <v>1665</v>
      </c>
      <c r="K159" t="s">
        <v>1666</v>
      </c>
      <c r="O159">
        <v>14.6</v>
      </c>
      <c r="P159">
        <v>13.84</v>
      </c>
      <c r="Q159">
        <v>22</v>
      </c>
      <c r="R159" s="716">
        <v>1529</v>
      </c>
      <c r="S159" s="716"/>
      <c r="U159">
        <v>7.2</v>
      </c>
      <c r="V159">
        <v>12.97</v>
      </c>
      <c r="W159">
        <v>12</v>
      </c>
      <c r="X159" t="s">
        <v>1149</v>
      </c>
      <c r="AA159">
        <v>1</v>
      </c>
      <c r="AB159">
        <v>-0.56000000000000005</v>
      </c>
      <c r="AD159">
        <v>1</v>
      </c>
      <c r="AF159">
        <v>16.399999999999999</v>
      </c>
      <c r="AG159">
        <v>5.6</v>
      </c>
      <c r="AI159">
        <v>13.4</v>
      </c>
      <c r="AJ159">
        <v>3.9</v>
      </c>
      <c r="AK159" t="s">
        <v>1667</v>
      </c>
      <c r="AM159" t="s">
        <v>1668</v>
      </c>
    </row>
    <row r="160" spans="1:40" customFormat="1" ht="18" customHeight="1">
      <c r="A160">
        <v>154</v>
      </c>
      <c r="B160" t="s">
        <v>1553</v>
      </c>
      <c r="C160" t="s">
        <v>1548</v>
      </c>
      <c r="D160" t="s">
        <v>1548</v>
      </c>
      <c r="E160" t="s">
        <v>2451</v>
      </c>
      <c r="F160" t="s">
        <v>2471</v>
      </c>
      <c r="G160">
        <v>1987</v>
      </c>
      <c r="H160" t="s">
        <v>1665</v>
      </c>
      <c r="I160" t="s">
        <v>961</v>
      </c>
      <c r="J160" t="s">
        <v>961</v>
      </c>
      <c r="K160" t="s">
        <v>1669</v>
      </c>
      <c r="O160">
        <v>9.1</v>
      </c>
      <c r="P160">
        <v>11.08</v>
      </c>
      <c r="Q160">
        <v>22</v>
      </c>
      <c r="R160" s="716">
        <v>1529</v>
      </c>
      <c r="S160" s="716"/>
      <c r="U160">
        <v>7.7</v>
      </c>
      <c r="V160">
        <v>7.11</v>
      </c>
      <c r="W160">
        <v>12</v>
      </c>
      <c r="X160" t="s">
        <v>1149</v>
      </c>
      <c r="AA160">
        <v>1</v>
      </c>
      <c r="AB160">
        <v>-0.2</v>
      </c>
      <c r="AD160">
        <v>1</v>
      </c>
      <c r="AF160">
        <v>16.399999999999999</v>
      </c>
      <c r="AG160">
        <v>5.6</v>
      </c>
      <c r="AI160">
        <v>13.4</v>
      </c>
      <c r="AJ160">
        <v>3.9</v>
      </c>
      <c r="AK160" t="s">
        <v>1667</v>
      </c>
      <c r="AM160" t="s">
        <v>1670</v>
      </c>
    </row>
    <row r="161" spans="1:41" customFormat="1" ht="18" customHeight="1">
      <c r="A161">
        <v>155</v>
      </c>
      <c r="B161" t="s">
        <v>1553</v>
      </c>
      <c r="C161" t="s">
        <v>2468</v>
      </c>
      <c r="D161" t="s">
        <v>2468</v>
      </c>
      <c r="E161" t="s">
        <v>2451</v>
      </c>
      <c r="F161" t="s">
        <v>2471</v>
      </c>
      <c r="G161">
        <v>1987</v>
      </c>
      <c r="H161" t="s">
        <v>1665</v>
      </c>
      <c r="I161" t="s">
        <v>1419</v>
      </c>
      <c r="J161" t="s">
        <v>1419</v>
      </c>
      <c r="K161" t="s">
        <v>1320</v>
      </c>
      <c r="O161">
        <v>415.2</v>
      </c>
      <c r="P161">
        <v>107.71</v>
      </c>
      <c r="Q161">
        <v>22</v>
      </c>
      <c r="R161" s="716">
        <v>1529</v>
      </c>
      <c r="S161" s="716"/>
      <c r="U161">
        <v>354.3</v>
      </c>
      <c r="V161">
        <v>55.72</v>
      </c>
      <c r="W161">
        <v>12</v>
      </c>
      <c r="X161" t="s">
        <v>1149</v>
      </c>
      <c r="AA161">
        <v>1</v>
      </c>
      <c r="AB161">
        <v>-1.07</v>
      </c>
      <c r="AD161">
        <v>1</v>
      </c>
      <c r="AF161">
        <v>16.399999999999999</v>
      </c>
      <c r="AG161">
        <v>5.6</v>
      </c>
      <c r="AI161">
        <v>13.4</v>
      </c>
      <c r="AJ161">
        <v>3.9</v>
      </c>
      <c r="AK161" t="s">
        <v>1667</v>
      </c>
      <c r="AM161" t="s">
        <v>1671</v>
      </c>
    </row>
    <row r="162" spans="1:41" customFormat="1" ht="18" customHeight="1">
      <c r="A162">
        <v>156</v>
      </c>
      <c r="B162" t="s">
        <v>908</v>
      </c>
      <c r="C162" t="s">
        <v>2468</v>
      </c>
      <c r="D162" t="s">
        <v>2468</v>
      </c>
      <c r="E162" t="s">
        <v>2451</v>
      </c>
      <c r="F162" t="s">
        <v>2481</v>
      </c>
      <c r="G162">
        <v>1997</v>
      </c>
      <c r="H162" t="s">
        <v>1555</v>
      </c>
      <c r="K162" t="s">
        <v>1556</v>
      </c>
      <c r="O162">
        <v>8.6999999999999993</v>
      </c>
      <c r="P162">
        <v>1.3</v>
      </c>
      <c r="Q162">
        <v>8</v>
      </c>
      <c r="R162" s="716">
        <v>870</v>
      </c>
      <c r="S162" s="716"/>
      <c r="U162">
        <v>7.5</v>
      </c>
      <c r="V162">
        <v>0.8</v>
      </c>
      <c r="W162">
        <v>8</v>
      </c>
      <c r="Y162">
        <v>-1.1100000000000001</v>
      </c>
      <c r="AA162">
        <v>1</v>
      </c>
      <c r="AB162">
        <v>-1.42</v>
      </c>
      <c r="AD162">
        <v>1</v>
      </c>
      <c r="AK162">
        <v>4</v>
      </c>
      <c r="AL162" t="s">
        <v>71</v>
      </c>
      <c r="AM162" t="s">
        <v>72</v>
      </c>
      <c r="AN162" t="s">
        <v>71</v>
      </c>
    </row>
    <row r="163" spans="1:41" customFormat="1" ht="18" customHeight="1">
      <c r="A163">
        <v>157</v>
      </c>
      <c r="B163" t="s">
        <v>908</v>
      </c>
      <c r="C163" t="s">
        <v>2468</v>
      </c>
      <c r="D163" t="s">
        <v>2468</v>
      </c>
      <c r="E163" t="s">
        <v>2451</v>
      </c>
      <c r="F163" t="s">
        <v>2464</v>
      </c>
      <c r="G163">
        <v>2017</v>
      </c>
      <c r="H163" t="s">
        <v>1555</v>
      </c>
      <c r="K163" t="s">
        <v>2593</v>
      </c>
      <c r="O163">
        <v>24.6</v>
      </c>
      <c r="P163">
        <v>14.7</v>
      </c>
      <c r="Q163">
        <v>57</v>
      </c>
      <c r="R163" s="716">
        <v>655</v>
      </c>
      <c r="S163" s="716"/>
      <c r="U163">
        <v>17.3</v>
      </c>
      <c r="V163">
        <v>10.3</v>
      </c>
      <c r="W163">
        <v>57</v>
      </c>
      <c r="Y163">
        <v>-0.57999999999999996</v>
      </c>
      <c r="AA163">
        <v>1</v>
      </c>
      <c r="AB163">
        <v>-0.7</v>
      </c>
      <c r="AD163">
        <v>1</v>
      </c>
      <c r="AK163">
        <v>1</v>
      </c>
      <c r="AL163" t="s">
        <v>48</v>
      </c>
      <c r="AM163" t="s">
        <v>24</v>
      </c>
      <c r="AN163" t="s">
        <v>41</v>
      </c>
    </row>
    <row r="164" spans="1:41" customFormat="1" ht="18" customHeight="1">
      <c r="A164">
        <v>158</v>
      </c>
      <c r="B164" t="s">
        <v>908</v>
      </c>
      <c r="C164" t="s">
        <v>2468</v>
      </c>
      <c r="D164" t="s">
        <v>2468</v>
      </c>
      <c r="E164" t="s">
        <v>2451</v>
      </c>
      <c r="F164" t="s">
        <v>2464</v>
      </c>
      <c r="G164">
        <v>2017</v>
      </c>
      <c r="H164" t="s">
        <v>1555</v>
      </c>
      <c r="K164" t="s">
        <v>1557</v>
      </c>
      <c r="O164">
        <v>9.3000000000000007</v>
      </c>
      <c r="P164">
        <v>1.8</v>
      </c>
      <c r="Q164">
        <v>57</v>
      </c>
      <c r="R164" s="716">
        <v>655</v>
      </c>
      <c r="S164" s="716"/>
      <c r="U164">
        <v>8.6999999999999993</v>
      </c>
      <c r="V164">
        <v>1.5</v>
      </c>
      <c r="W164">
        <v>57</v>
      </c>
      <c r="Y164">
        <v>-0.36</v>
      </c>
      <c r="AA164">
        <v>1</v>
      </c>
      <c r="AB164">
        <v>-0.4</v>
      </c>
      <c r="AD164">
        <v>1</v>
      </c>
      <c r="AK164">
        <v>1</v>
      </c>
      <c r="AL164" t="s">
        <v>48</v>
      </c>
      <c r="AM164" t="s">
        <v>24</v>
      </c>
      <c r="AN164" t="s">
        <v>41</v>
      </c>
    </row>
    <row r="165" spans="1:41" customFormat="1" ht="18" customHeight="1">
      <c r="A165">
        <v>159</v>
      </c>
      <c r="B165" t="s">
        <v>908</v>
      </c>
      <c r="C165" t="s">
        <v>2468</v>
      </c>
      <c r="D165" t="s">
        <v>2468</v>
      </c>
      <c r="E165" t="s">
        <v>2451</v>
      </c>
      <c r="F165" t="s">
        <v>74</v>
      </c>
      <c r="G165">
        <v>1994</v>
      </c>
      <c r="H165" t="s">
        <v>1555</v>
      </c>
      <c r="I165" t="s">
        <v>961</v>
      </c>
      <c r="J165" t="s">
        <v>961</v>
      </c>
      <c r="K165" t="s">
        <v>2622</v>
      </c>
      <c r="O165">
        <v>51.9</v>
      </c>
      <c r="P165">
        <v>8.6999999999999993</v>
      </c>
      <c r="Q165">
        <v>19</v>
      </c>
      <c r="R165" s="716">
        <v>1417</v>
      </c>
      <c r="S165" s="716"/>
      <c r="U165">
        <v>39.9</v>
      </c>
      <c r="V165">
        <v>6.6</v>
      </c>
      <c r="W165">
        <v>20</v>
      </c>
      <c r="Y165">
        <v>-1.55</v>
      </c>
      <c r="AA165">
        <v>1</v>
      </c>
      <c r="AB165">
        <v>-1.78</v>
      </c>
      <c r="AD165">
        <v>1</v>
      </c>
      <c r="AK165" t="s">
        <v>23</v>
      </c>
      <c r="AL165" t="s">
        <v>67</v>
      </c>
      <c r="AM165" t="s">
        <v>24</v>
      </c>
      <c r="AN165" t="s">
        <v>67</v>
      </c>
    </row>
    <row r="166" spans="1:41" customFormat="1" ht="18" customHeight="1">
      <c r="A166">
        <v>160</v>
      </c>
      <c r="B166" t="s">
        <v>908</v>
      </c>
      <c r="C166" t="s">
        <v>2468</v>
      </c>
      <c r="D166" t="s">
        <v>2468</v>
      </c>
      <c r="E166" t="s">
        <v>2451</v>
      </c>
      <c r="F166" t="s">
        <v>74</v>
      </c>
      <c r="G166">
        <v>1994</v>
      </c>
      <c r="H166" t="s">
        <v>1555</v>
      </c>
      <c r="I166" t="s">
        <v>1419</v>
      </c>
      <c r="J166" t="s">
        <v>1419</v>
      </c>
      <c r="K166" t="s">
        <v>1554</v>
      </c>
      <c r="O166">
        <v>1010</v>
      </c>
      <c r="P166">
        <v>1318</v>
      </c>
      <c r="Q166">
        <v>19</v>
      </c>
      <c r="R166" s="716">
        <v>1417</v>
      </c>
      <c r="S166" s="716"/>
      <c r="U166">
        <v>729</v>
      </c>
      <c r="V166">
        <v>691</v>
      </c>
      <c r="W166">
        <v>20</v>
      </c>
      <c r="Y166">
        <v>-0.27</v>
      </c>
      <c r="AA166">
        <v>1</v>
      </c>
      <c r="AB166">
        <v>-0.4</v>
      </c>
      <c r="AD166">
        <v>1</v>
      </c>
      <c r="AK166" t="s">
        <v>23</v>
      </c>
      <c r="AL166" t="s">
        <v>67</v>
      </c>
      <c r="AM166" t="s">
        <v>24</v>
      </c>
      <c r="AN166" t="s">
        <v>67</v>
      </c>
      <c r="AO166" t="s">
        <v>41</v>
      </c>
    </row>
    <row r="167" spans="1:41" customFormat="1" ht="18" customHeight="1">
      <c r="A167">
        <v>161</v>
      </c>
      <c r="B167" t="s">
        <v>908</v>
      </c>
      <c r="C167" t="s">
        <v>2468</v>
      </c>
      <c r="D167" t="s">
        <v>2468</v>
      </c>
      <c r="E167" t="s">
        <v>2451</v>
      </c>
      <c r="F167" t="s">
        <v>2663</v>
      </c>
      <c r="G167">
        <v>1996</v>
      </c>
      <c r="H167" t="s">
        <v>1555</v>
      </c>
      <c r="K167" t="s">
        <v>75</v>
      </c>
      <c r="O167">
        <v>12.3</v>
      </c>
      <c r="P167">
        <v>4.53</v>
      </c>
      <c r="Q167">
        <v>8</v>
      </c>
      <c r="R167" s="716">
        <v>1253</v>
      </c>
      <c r="S167" s="716"/>
      <c r="U167">
        <v>8.6999999999999993</v>
      </c>
      <c r="V167">
        <v>1.18</v>
      </c>
      <c r="W167">
        <v>8</v>
      </c>
      <c r="Y167">
        <v>-1.0900000000000001</v>
      </c>
      <c r="AA167">
        <v>1</v>
      </c>
      <c r="AB167">
        <v>-2.88</v>
      </c>
      <c r="AD167">
        <v>1</v>
      </c>
      <c r="AK167" t="s">
        <v>23</v>
      </c>
      <c r="AL167" t="s">
        <v>23</v>
      </c>
      <c r="AM167" t="s">
        <v>24</v>
      </c>
      <c r="AN167" t="s">
        <v>23</v>
      </c>
      <c r="AO167" t="s">
        <v>41</v>
      </c>
    </row>
    <row r="168" spans="1:41" customFormat="1" ht="18" customHeight="1">
      <c r="A168">
        <v>162</v>
      </c>
      <c r="B168" t="s">
        <v>1353</v>
      </c>
      <c r="C168" t="s">
        <v>2468</v>
      </c>
      <c r="D168" t="s">
        <v>2468</v>
      </c>
      <c r="E168" t="s">
        <v>2451</v>
      </c>
      <c r="F168" t="s">
        <v>585</v>
      </c>
      <c r="G168">
        <v>2012</v>
      </c>
      <c r="H168" t="s">
        <v>2024</v>
      </c>
      <c r="K168" t="s">
        <v>1414</v>
      </c>
      <c r="O168">
        <v>183</v>
      </c>
      <c r="P168">
        <v>77</v>
      </c>
      <c r="Q168">
        <v>42</v>
      </c>
      <c r="R168" s="716">
        <v>546</v>
      </c>
      <c r="S168" s="716">
        <v>331</v>
      </c>
      <c r="U168">
        <v>145</v>
      </c>
      <c r="V168">
        <v>57</v>
      </c>
      <c r="W168">
        <v>81</v>
      </c>
      <c r="AA168">
        <v>1</v>
      </c>
      <c r="AB168">
        <v>-0.66</v>
      </c>
      <c r="AD168">
        <v>1</v>
      </c>
      <c r="AF168">
        <v>11.8</v>
      </c>
      <c r="AG168">
        <v>3.5</v>
      </c>
      <c r="AI168">
        <v>12.3</v>
      </c>
      <c r="AJ168">
        <v>3.2</v>
      </c>
      <c r="AO168" t="s">
        <v>41</v>
      </c>
    </row>
    <row r="169" spans="1:41" customFormat="1" ht="18" customHeight="1">
      <c r="A169">
        <v>163</v>
      </c>
      <c r="B169" t="s">
        <v>1353</v>
      </c>
      <c r="C169" t="s">
        <v>2468</v>
      </c>
      <c r="D169" t="s">
        <v>2468</v>
      </c>
      <c r="E169" t="s">
        <v>2451</v>
      </c>
      <c r="F169" t="s">
        <v>1505</v>
      </c>
      <c r="G169">
        <v>2002</v>
      </c>
      <c r="H169" t="s">
        <v>1257</v>
      </c>
      <c r="K169" t="s">
        <v>1256</v>
      </c>
      <c r="M169" t="s">
        <v>1358</v>
      </c>
      <c r="O169">
        <v>12.9</v>
      </c>
      <c r="P169">
        <v>2.11</v>
      </c>
      <c r="Q169">
        <v>30</v>
      </c>
      <c r="R169" s="716">
        <v>494</v>
      </c>
      <c r="S169" s="716">
        <v>291</v>
      </c>
      <c r="U169">
        <v>11.2</v>
      </c>
      <c r="V169">
        <v>1.59</v>
      </c>
      <c r="W169">
        <v>32</v>
      </c>
      <c r="AA169">
        <v>1</v>
      </c>
      <c r="AB169">
        <v>-1.08</v>
      </c>
      <c r="AD169">
        <v>1</v>
      </c>
      <c r="AF169">
        <v>12.7</v>
      </c>
      <c r="AG169">
        <v>1.1000000000000001</v>
      </c>
      <c r="AI169">
        <v>13</v>
      </c>
      <c r="AJ169">
        <v>1.2</v>
      </c>
    </row>
    <row r="170" spans="1:41" customFormat="1" ht="18" customHeight="1">
      <c r="A170">
        <v>164</v>
      </c>
      <c r="B170" t="s">
        <v>908</v>
      </c>
      <c r="C170" t="s">
        <v>2468</v>
      </c>
      <c r="D170" t="s">
        <v>2468</v>
      </c>
      <c r="E170" t="s">
        <v>2451</v>
      </c>
      <c r="F170" t="s">
        <v>2710</v>
      </c>
      <c r="G170">
        <v>2017</v>
      </c>
      <c r="H170" t="s">
        <v>2492</v>
      </c>
      <c r="K170" t="s">
        <v>2611</v>
      </c>
      <c r="O170">
        <v>18.899999999999999</v>
      </c>
      <c r="P170">
        <v>11.3</v>
      </c>
      <c r="Q170">
        <v>37</v>
      </c>
      <c r="R170" s="716">
        <v>720</v>
      </c>
      <c r="S170" s="716"/>
      <c r="U170">
        <v>13.3</v>
      </c>
      <c r="V170">
        <v>8.8000000000000007</v>
      </c>
      <c r="W170">
        <v>30</v>
      </c>
      <c r="Y170">
        <v>-0.55000000000000004</v>
      </c>
      <c r="AA170">
        <v>1</v>
      </c>
      <c r="AB170">
        <v>-0.63</v>
      </c>
      <c r="AD170">
        <v>1</v>
      </c>
      <c r="AK170">
        <v>1</v>
      </c>
      <c r="AL170" t="s">
        <v>48</v>
      </c>
      <c r="AM170" t="s">
        <v>32</v>
      </c>
      <c r="AN170" t="s">
        <v>41</v>
      </c>
    </row>
    <row r="171" spans="1:41" customFormat="1" ht="18" customHeight="1">
      <c r="A171">
        <v>165</v>
      </c>
      <c r="B171" t="s">
        <v>908</v>
      </c>
      <c r="C171" t="s">
        <v>2468</v>
      </c>
      <c r="D171" t="s">
        <v>2468</v>
      </c>
      <c r="E171" t="s">
        <v>2451</v>
      </c>
      <c r="F171" t="s">
        <v>54</v>
      </c>
      <c r="G171">
        <v>2020</v>
      </c>
      <c r="H171" t="s">
        <v>2492</v>
      </c>
      <c r="K171" t="s">
        <v>2611</v>
      </c>
      <c r="O171">
        <v>24.2</v>
      </c>
      <c r="P171">
        <v>12</v>
      </c>
      <c r="Q171">
        <v>19</v>
      </c>
      <c r="R171" s="716">
        <v>1042</v>
      </c>
      <c r="S171" s="716"/>
      <c r="U171">
        <v>15.9</v>
      </c>
      <c r="V171">
        <v>9.6</v>
      </c>
      <c r="W171">
        <v>19</v>
      </c>
      <c r="Y171">
        <v>-0.76</v>
      </c>
      <c r="AA171">
        <v>1</v>
      </c>
      <c r="AB171">
        <v>-0.85</v>
      </c>
      <c r="AD171">
        <v>1</v>
      </c>
      <c r="AK171">
        <v>1</v>
      </c>
      <c r="AL171" t="s">
        <v>48</v>
      </c>
      <c r="AM171" t="s">
        <v>24</v>
      </c>
      <c r="AN171" t="s">
        <v>41</v>
      </c>
    </row>
    <row r="172" spans="1:41" customFormat="1" ht="18" customHeight="1">
      <c r="A172">
        <v>166</v>
      </c>
      <c r="B172" t="s">
        <v>908</v>
      </c>
      <c r="C172" t="s">
        <v>2468</v>
      </c>
      <c r="D172" t="s">
        <v>2468</v>
      </c>
      <c r="E172" t="s">
        <v>2451</v>
      </c>
      <c r="F172" t="s">
        <v>2055</v>
      </c>
      <c r="G172">
        <v>2023</v>
      </c>
      <c r="H172" t="s">
        <v>1680</v>
      </c>
      <c r="K172" t="s">
        <v>1673</v>
      </c>
      <c r="L172" t="s">
        <v>1678</v>
      </c>
      <c r="M172" t="s">
        <v>1681</v>
      </c>
      <c r="N172" t="s">
        <v>1682</v>
      </c>
      <c r="O172">
        <v>46</v>
      </c>
      <c r="P172">
        <v>9</v>
      </c>
      <c r="Q172">
        <v>30</v>
      </c>
      <c r="R172" s="716">
        <v>741</v>
      </c>
      <c r="S172" s="716" t="s">
        <v>1619</v>
      </c>
      <c r="U172">
        <v>52</v>
      </c>
      <c r="V172">
        <v>9</v>
      </c>
      <c r="W172">
        <v>54</v>
      </c>
      <c r="X172" t="s">
        <v>1149</v>
      </c>
      <c r="Y172">
        <v>0.67</v>
      </c>
      <c r="AA172">
        <v>-1</v>
      </c>
      <c r="AB172">
        <v>-0.66</v>
      </c>
      <c r="AD172">
        <v>1</v>
      </c>
      <c r="AF172" t="s">
        <v>1149</v>
      </c>
    </row>
    <row r="173" spans="1:41" customFormat="1" ht="18" customHeight="1">
      <c r="A173">
        <v>167</v>
      </c>
      <c r="B173" t="s">
        <v>908</v>
      </c>
      <c r="C173" t="s">
        <v>2468</v>
      </c>
      <c r="D173" t="s">
        <v>2468</v>
      </c>
      <c r="E173" t="s">
        <v>2451</v>
      </c>
      <c r="F173" t="s">
        <v>2055</v>
      </c>
      <c r="G173">
        <v>2023</v>
      </c>
      <c r="H173" t="s">
        <v>1680</v>
      </c>
      <c r="K173" t="s">
        <v>1673</v>
      </c>
      <c r="L173" t="s">
        <v>1620</v>
      </c>
      <c r="M173" t="s">
        <v>1641</v>
      </c>
      <c r="N173" t="s">
        <v>1621</v>
      </c>
      <c r="O173">
        <v>28.5</v>
      </c>
      <c r="P173">
        <v>48.8</v>
      </c>
      <c r="Q173">
        <v>30</v>
      </c>
      <c r="R173" s="716">
        <v>741</v>
      </c>
      <c r="S173" s="716" t="s">
        <v>1619</v>
      </c>
      <c r="U173">
        <v>-9.4</v>
      </c>
      <c r="V173">
        <v>50.4</v>
      </c>
      <c r="W173">
        <v>54</v>
      </c>
      <c r="X173" t="s">
        <v>1149</v>
      </c>
      <c r="Y173">
        <v>-0.76</v>
      </c>
      <c r="AA173">
        <v>1</v>
      </c>
      <c r="AB173">
        <v>-0.75</v>
      </c>
      <c r="AD173">
        <v>0</v>
      </c>
      <c r="AF173" t="s">
        <v>1149</v>
      </c>
    </row>
    <row r="174" spans="1:41" customFormat="1" ht="18" customHeight="1">
      <c r="A174">
        <v>168</v>
      </c>
      <c r="B174" t="s">
        <v>1353</v>
      </c>
      <c r="C174" t="s">
        <v>2468</v>
      </c>
      <c r="D174" t="s">
        <v>2468</v>
      </c>
      <c r="E174" t="s">
        <v>2451</v>
      </c>
      <c r="F174" t="s">
        <v>1490</v>
      </c>
      <c r="G174">
        <v>2014</v>
      </c>
      <c r="H174" t="s">
        <v>1272</v>
      </c>
      <c r="K174" t="s">
        <v>1499</v>
      </c>
      <c r="O174">
        <v>8.6999999999999993</v>
      </c>
      <c r="P174">
        <v>8.4</v>
      </c>
      <c r="Q174">
        <v>21</v>
      </c>
      <c r="R174" s="716">
        <v>590</v>
      </c>
      <c r="S174" s="716">
        <v>248</v>
      </c>
      <c r="U174">
        <v>4.4000000000000004</v>
      </c>
      <c r="V174">
        <v>4.9000000000000004</v>
      </c>
      <c r="W174">
        <v>73</v>
      </c>
      <c r="AA174">
        <v>1</v>
      </c>
      <c r="AB174">
        <v>-0.87</v>
      </c>
      <c r="AD174">
        <v>1</v>
      </c>
      <c r="AF174">
        <v>10.6</v>
      </c>
      <c r="AG174">
        <v>2.5</v>
      </c>
      <c r="AI174">
        <v>10.9</v>
      </c>
      <c r="AJ174">
        <v>2.2000000000000002</v>
      </c>
    </row>
    <row r="175" spans="1:41" customFormat="1" ht="18" customHeight="1">
      <c r="A175">
        <v>169</v>
      </c>
      <c r="B175" t="s">
        <v>908</v>
      </c>
      <c r="C175" t="s">
        <v>2468</v>
      </c>
      <c r="D175" t="s">
        <v>2468</v>
      </c>
      <c r="E175" t="s">
        <v>2451</v>
      </c>
      <c r="F175" t="s">
        <v>29</v>
      </c>
      <c r="G175">
        <v>2004</v>
      </c>
      <c r="H175" t="s">
        <v>2493</v>
      </c>
      <c r="K175" t="s">
        <v>73</v>
      </c>
      <c r="O175">
        <v>18.5</v>
      </c>
      <c r="P175">
        <v>4.88</v>
      </c>
      <c r="Q175">
        <v>20</v>
      </c>
      <c r="R175" s="716">
        <v>859</v>
      </c>
      <c r="S175" s="716"/>
      <c r="U175">
        <v>22.8</v>
      </c>
      <c r="V175">
        <v>5.49</v>
      </c>
      <c r="W175">
        <v>20</v>
      </c>
      <c r="Y175">
        <v>0.83</v>
      </c>
      <c r="AA175">
        <v>-1</v>
      </c>
      <c r="AB175">
        <v>-0.77</v>
      </c>
      <c r="AD175">
        <v>1</v>
      </c>
      <c r="AK175">
        <v>2</v>
      </c>
      <c r="AL175" t="s">
        <v>31</v>
      </c>
      <c r="AM175" t="s">
        <v>32</v>
      </c>
      <c r="AN175" t="s">
        <v>31</v>
      </c>
    </row>
    <row r="176" spans="1:41" customFormat="1" ht="18" customHeight="1">
      <c r="A176">
        <v>170</v>
      </c>
      <c r="B176" t="s">
        <v>1553</v>
      </c>
      <c r="C176" t="s">
        <v>2468</v>
      </c>
      <c r="D176" t="s">
        <v>2468</v>
      </c>
      <c r="E176" t="s">
        <v>2451</v>
      </c>
      <c r="F176" t="s">
        <v>1389</v>
      </c>
      <c r="G176">
        <v>2007</v>
      </c>
      <c r="H176" t="s">
        <v>1238</v>
      </c>
      <c r="K176" t="s">
        <v>1239</v>
      </c>
      <c r="M176" t="s">
        <v>1251</v>
      </c>
      <c r="O176">
        <v>8.3000000000000007</v>
      </c>
      <c r="P176">
        <v>3.89</v>
      </c>
      <c r="Q176">
        <v>15</v>
      </c>
      <c r="R176" s="716">
        <v>660</v>
      </c>
      <c r="S176" s="716">
        <v>337</v>
      </c>
      <c r="U176">
        <v>10</v>
      </c>
      <c r="V176">
        <v>3</v>
      </c>
      <c r="W176">
        <v>20</v>
      </c>
      <c r="AA176">
        <v>-1</v>
      </c>
      <c r="AB176">
        <v>-0.56000000000000005</v>
      </c>
      <c r="AD176">
        <v>1</v>
      </c>
      <c r="AF176">
        <v>14.8</v>
      </c>
      <c r="AG176">
        <v>3</v>
      </c>
    </row>
    <row r="177" spans="1:40" customFormat="1" ht="18" customHeight="1">
      <c r="A177">
        <v>171</v>
      </c>
      <c r="B177" t="s">
        <v>908</v>
      </c>
      <c r="C177" t="s">
        <v>1548</v>
      </c>
      <c r="D177" t="s">
        <v>1548</v>
      </c>
      <c r="E177" t="s">
        <v>2451</v>
      </c>
      <c r="F177" t="s">
        <v>29</v>
      </c>
      <c r="G177">
        <v>2004</v>
      </c>
      <c r="H177" t="s">
        <v>2494</v>
      </c>
      <c r="K177" t="s">
        <v>61</v>
      </c>
      <c r="O177">
        <v>0.56999999999999995</v>
      </c>
      <c r="P177">
        <v>0.32</v>
      </c>
      <c r="Q177">
        <v>20</v>
      </c>
      <c r="R177" s="716">
        <v>859</v>
      </c>
      <c r="S177" s="716"/>
      <c r="U177">
        <v>0.75</v>
      </c>
      <c r="V177">
        <v>0.53</v>
      </c>
      <c r="W177">
        <v>20</v>
      </c>
      <c r="Y177">
        <v>0.41</v>
      </c>
      <c r="AA177">
        <v>-1</v>
      </c>
      <c r="AB177">
        <v>-0.33</v>
      </c>
      <c r="AD177">
        <v>1</v>
      </c>
      <c r="AK177">
        <v>2</v>
      </c>
      <c r="AL177" t="s">
        <v>31</v>
      </c>
      <c r="AM177" t="s">
        <v>32</v>
      </c>
      <c r="AN177" t="s">
        <v>31</v>
      </c>
    </row>
    <row r="178" spans="1:40" customFormat="1" ht="18" customHeight="1">
      <c r="A178">
        <v>172</v>
      </c>
      <c r="B178" t="s">
        <v>908</v>
      </c>
      <c r="C178" t="s">
        <v>1548</v>
      </c>
      <c r="D178" t="s">
        <v>1548</v>
      </c>
      <c r="E178" t="s">
        <v>2451</v>
      </c>
      <c r="F178" t="s">
        <v>33</v>
      </c>
      <c r="G178">
        <v>2005</v>
      </c>
      <c r="H178" t="s">
        <v>2035</v>
      </c>
      <c r="I178" t="s">
        <v>961</v>
      </c>
      <c r="J178" t="s">
        <v>961</v>
      </c>
      <c r="K178" t="s">
        <v>1484</v>
      </c>
      <c r="O178">
        <v>97.7</v>
      </c>
      <c r="P178">
        <v>3.41</v>
      </c>
      <c r="Q178">
        <v>25</v>
      </c>
      <c r="R178" s="716">
        <v>759</v>
      </c>
      <c r="S178" s="716"/>
      <c r="U178">
        <v>97.1</v>
      </c>
      <c r="V178">
        <v>2.86</v>
      </c>
      <c r="W178">
        <v>25</v>
      </c>
      <c r="Y178">
        <v>-0.17</v>
      </c>
      <c r="AA178">
        <v>1</v>
      </c>
      <c r="AB178">
        <v>-0.19</v>
      </c>
      <c r="AD178">
        <v>1</v>
      </c>
    </row>
    <row r="179" spans="1:40" customFormat="1" ht="18" customHeight="1">
      <c r="A179">
        <v>173</v>
      </c>
      <c r="B179" t="s">
        <v>908</v>
      </c>
      <c r="C179" t="s">
        <v>1548</v>
      </c>
      <c r="D179" t="s">
        <v>1548</v>
      </c>
      <c r="E179" t="s">
        <v>2451</v>
      </c>
      <c r="F179" t="s">
        <v>33</v>
      </c>
      <c r="G179">
        <v>2005</v>
      </c>
      <c r="H179" t="s">
        <v>2035</v>
      </c>
      <c r="I179" t="s">
        <v>1419</v>
      </c>
      <c r="J179" t="s">
        <v>1419</v>
      </c>
      <c r="K179" t="s">
        <v>1488</v>
      </c>
      <c r="O179">
        <v>0.5</v>
      </c>
      <c r="P179">
        <v>0.05</v>
      </c>
      <c r="Q179">
        <v>25</v>
      </c>
      <c r="R179" s="716">
        <v>759</v>
      </c>
      <c r="S179" s="716"/>
      <c r="U179">
        <v>0.4</v>
      </c>
      <c r="V179">
        <v>0.05</v>
      </c>
      <c r="W179">
        <v>25</v>
      </c>
      <c r="AA179">
        <v>1</v>
      </c>
      <c r="AB179">
        <v>-0.59</v>
      </c>
      <c r="AD179">
        <v>1</v>
      </c>
    </row>
    <row r="180" spans="1:40" customFormat="1" ht="18" customHeight="1">
      <c r="A180">
        <v>174</v>
      </c>
      <c r="B180" t="s">
        <v>908</v>
      </c>
      <c r="C180" t="s">
        <v>1548</v>
      </c>
      <c r="D180" t="s">
        <v>1548</v>
      </c>
      <c r="E180" t="s">
        <v>2451</v>
      </c>
      <c r="F180" t="s">
        <v>63</v>
      </c>
      <c r="G180">
        <v>2007</v>
      </c>
      <c r="H180" t="s">
        <v>2035</v>
      </c>
      <c r="I180" t="s">
        <v>961</v>
      </c>
      <c r="J180" t="s">
        <v>961</v>
      </c>
      <c r="K180" t="s">
        <v>1486</v>
      </c>
      <c r="O180">
        <v>97.1</v>
      </c>
      <c r="P180">
        <v>2.2799999999999998</v>
      </c>
      <c r="Q180">
        <v>25</v>
      </c>
      <c r="R180" s="716">
        <v>1286</v>
      </c>
      <c r="S180" s="716"/>
      <c r="U180">
        <v>97.2</v>
      </c>
      <c r="V180">
        <v>2.82</v>
      </c>
      <c r="W180">
        <v>45</v>
      </c>
      <c r="AA180">
        <v>-1</v>
      </c>
      <c r="AB180">
        <v>-0.06</v>
      </c>
      <c r="AD180">
        <v>1</v>
      </c>
    </row>
    <row r="181" spans="1:40" customFormat="1" ht="18" customHeight="1">
      <c r="A181">
        <v>175</v>
      </c>
      <c r="B181" t="s">
        <v>908</v>
      </c>
      <c r="C181" t="s">
        <v>1548</v>
      </c>
      <c r="D181" t="s">
        <v>1548</v>
      </c>
      <c r="E181" t="s">
        <v>2451</v>
      </c>
      <c r="F181" t="s">
        <v>63</v>
      </c>
      <c r="G181">
        <v>2007</v>
      </c>
      <c r="H181" t="s">
        <v>2035</v>
      </c>
      <c r="I181" t="s">
        <v>1419</v>
      </c>
      <c r="J181" t="s">
        <v>1419</v>
      </c>
      <c r="K181" t="s">
        <v>1488</v>
      </c>
      <c r="O181">
        <v>0.5</v>
      </c>
      <c r="P181">
        <v>0.08</v>
      </c>
      <c r="Q181">
        <v>25</v>
      </c>
      <c r="R181" s="716">
        <v>1287</v>
      </c>
      <c r="S181" s="716"/>
      <c r="U181">
        <v>0.5</v>
      </c>
      <c r="V181">
        <v>0.06</v>
      </c>
      <c r="W181">
        <v>45</v>
      </c>
      <c r="AA181">
        <v>1</v>
      </c>
      <c r="AB181">
        <v>-0.99</v>
      </c>
      <c r="AD181">
        <v>1</v>
      </c>
    </row>
    <row r="182" spans="1:40" customFormat="1" ht="18" customHeight="1">
      <c r="A182">
        <v>176</v>
      </c>
      <c r="B182" t="s">
        <v>908</v>
      </c>
      <c r="C182" t="s">
        <v>1548</v>
      </c>
      <c r="D182" t="s">
        <v>1548</v>
      </c>
      <c r="E182" t="s">
        <v>2451</v>
      </c>
      <c r="F182" t="s">
        <v>1847</v>
      </c>
      <c r="G182">
        <v>2023</v>
      </c>
      <c r="H182" t="s">
        <v>1646</v>
      </c>
      <c r="K182" t="s">
        <v>1690</v>
      </c>
      <c r="L182" t="s">
        <v>1647</v>
      </c>
      <c r="M182" t="s">
        <v>1637</v>
      </c>
      <c r="O182">
        <v>40</v>
      </c>
      <c r="P182">
        <v>7.7</v>
      </c>
      <c r="Q182">
        <v>40</v>
      </c>
      <c r="R182" s="716">
        <v>589</v>
      </c>
      <c r="S182" s="716">
        <v>444</v>
      </c>
      <c r="U182">
        <v>43</v>
      </c>
      <c r="V182">
        <v>9.6</v>
      </c>
      <c r="W182">
        <v>32</v>
      </c>
      <c r="X182" t="s">
        <v>1149</v>
      </c>
      <c r="AA182">
        <v>-1</v>
      </c>
      <c r="AB182">
        <v>-0.31</v>
      </c>
      <c r="AD182">
        <v>1</v>
      </c>
      <c r="AF182">
        <v>11.18</v>
      </c>
      <c r="AG182">
        <v>3.4</v>
      </c>
      <c r="AI182">
        <v>10.3</v>
      </c>
      <c r="AJ182">
        <v>3.1</v>
      </c>
    </row>
    <row r="183" spans="1:40" customFormat="1" ht="18" customHeight="1">
      <c r="A183">
        <v>177</v>
      </c>
      <c r="B183" t="s">
        <v>908</v>
      </c>
      <c r="C183" t="s">
        <v>1548</v>
      </c>
      <c r="D183" t="s">
        <v>1548</v>
      </c>
      <c r="E183" t="s">
        <v>2451</v>
      </c>
      <c r="F183" t="s">
        <v>2710</v>
      </c>
      <c r="G183">
        <v>2018</v>
      </c>
      <c r="H183" t="s">
        <v>2634</v>
      </c>
      <c r="I183" t="s">
        <v>1419</v>
      </c>
      <c r="K183" t="s">
        <v>66</v>
      </c>
      <c r="O183">
        <v>85.9</v>
      </c>
      <c r="P183">
        <v>16.7</v>
      </c>
      <c r="Q183">
        <v>15</v>
      </c>
      <c r="R183" s="716">
        <v>751</v>
      </c>
      <c r="S183" s="716"/>
      <c r="U183">
        <v>75.7</v>
      </c>
      <c r="V183">
        <v>19.2</v>
      </c>
      <c r="W183">
        <v>24</v>
      </c>
      <c r="Y183">
        <v>-0.56999999999999995</v>
      </c>
      <c r="AA183">
        <v>1</v>
      </c>
      <c r="AB183">
        <v>-0.52</v>
      </c>
      <c r="AD183">
        <v>1</v>
      </c>
      <c r="AK183">
        <v>1</v>
      </c>
      <c r="AL183" t="s">
        <v>48</v>
      </c>
      <c r="AM183" t="s">
        <v>32</v>
      </c>
      <c r="AN183" t="s">
        <v>41</v>
      </c>
    </row>
    <row r="184" spans="1:40" customFormat="1" ht="18" customHeight="1">
      <c r="A184">
        <v>178</v>
      </c>
      <c r="B184" t="s">
        <v>908</v>
      </c>
      <c r="C184" t="s">
        <v>1548</v>
      </c>
      <c r="D184" t="s">
        <v>1548</v>
      </c>
      <c r="E184" t="s">
        <v>2451</v>
      </c>
      <c r="F184" t="s">
        <v>2710</v>
      </c>
      <c r="G184">
        <v>2018</v>
      </c>
      <c r="H184" t="s">
        <v>2494</v>
      </c>
      <c r="I184" t="s">
        <v>961</v>
      </c>
      <c r="J184" t="s">
        <v>961</v>
      </c>
      <c r="K184" t="s">
        <v>2585</v>
      </c>
      <c r="O184">
        <v>2.4</v>
      </c>
      <c r="P184">
        <v>1.8</v>
      </c>
      <c r="Q184">
        <v>22</v>
      </c>
      <c r="R184" s="716">
        <v>751</v>
      </c>
      <c r="S184" s="716"/>
      <c r="U184">
        <v>1.2</v>
      </c>
      <c r="V184">
        <v>2.6</v>
      </c>
      <c r="W184">
        <v>25</v>
      </c>
      <c r="X184">
        <v>25</v>
      </c>
      <c r="AA184">
        <v>1</v>
      </c>
      <c r="AB184">
        <v>-0.45</v>
      </c>
      <c r="AC184">
        <v>0.21</v>
      </c>
      <c r="AD184">
        <v>1</v>
      </c>
      <c r="AE184">
        <v>1</v>
      </c>
      <c r="AL184">
        <v>1</v>
      </c>
      <c r="AM184" t="s">
        <v>48</v>
      </c>
      <c r="AN184" t="s">
        <v>32</v>
      </c>
    </row>
    <row r="185" spans="1:40" customFormat="1" ht="18" customHeight="1">
      <c r="A185">
        <v>179</v>
      </c>
      <c r="B185" t="s">
        <v>908</v>
      </c>
      <c r="C185" t="s">
        <v>1548</v>
      </c>
      <c r="D185" t="s">
        <v>1548</v>
      </c>
      <c r="E185" t="s">
        <v>2451</v>
      </c>
      <c r="F185" t="s">
        <v>2710</v>
      </c>
      <c r="G185">
        <v>2018</v>
      </c>
      <c r="H185" t="s">
        <v>2495</v>
      </c>
      <c r="I185" t="s">
        <v>1419</v>
      </c>
      <c r="J185" t="s">
        <v>1419</v>
      </c>
      <c r="K185" t="s">
        <v>65</v>
      </c>
      <c r="O185">
        <v>48</v>
      </c>
      <c r="P185">
        <v>37.1</v>
      </c>
      <c r="Q185">
        <v>22</v>
      </c>
      <c r="R185" s="716">
        <v>751</v>
      </c>
      <c r="S185" s="716"/>
      <c r="U185">
        <v>29.6</v>
      </c>
      <c r="V185">
        <v>17</v>
      </c>
      <c r="W185">
        <v>25</v>
      </c>
      <c r="X185">
        <v>25</v>
      </c>
      <c r="Z185">
        <v>-0.64</v>
      </c>
      <c r="AA185">
        <v>1</v>
      </c>
      <c r="AB185">
        <v>-1.06</v>
      </c>
      <c r="AC185">
        <v>1.1299999999999999</v>
      </c>
      <c r="AD185">
        <v>1</v>
      </c>
      <c r="AE185">
        <v>1</v>
      </c>
      <c r="AL185">
        <v>1</v>
      </c>
      <c r="AM185" t="s">
        <v>48</v>
      </c>
      <c r="AN185" t="s">
        <v>32</v>
      </c>
    </row>
    <row r="186" spans="1:40" customFormat="1" ht="18" customHeight="1">
      <c r="A186">
        <v>180</v>
      </c>
      <c r="R186" s="716"/>
      <c r="S186" s="716"/>
    </row>
    <row r="187" spans="1:40" customFormat="1" ht="18" customHeight="1">
      <c r="A187">
        <v>181</v>
      </c>
      <c r="B187" t="s">
        <v>908</v>
      </c>
      <c r="C187" t="s">
        <v>1548</v>
      </c>
      <c r="D187" t="s">
        <v>1548</v>
      </c>
      <c r="E187" t="s">
        <v>2451</v>
      </c>
      <c r="F187" t="s">
        <v>2478</v>
      </c>
      <c r="G187">
        <v>2023</v>
      </c>
      <c r="H187" t="s">
        <v>2036</v>
      </c>
      <c r="K187" t="s">
        <v>1657</v>
      </c>
      <c r="M187" t="s">
        <v>2686</v>
      </c>
      <c r="N187" t="s">
        <v>1658</v>
      </c>
      <c r="O187">
        <v>5</v>
      </c>
      <c r="P187">
        <v>10.8</v>
      </c>
      <c r="Q187">
        <v>20</v>
      </c>
      <c r="R187" s="716">
        <v>586</v>
      </c>
      <c r="S187" s="716">
        <v>420</v>
      </c>
      <c r="U187">
        <v>11.3</v>
      </c>
      <c r="V187">
        <v>8.8000000000000007</v>
      </c>
      <c r="W187">
        <v>20</v>
      </c>
      <c r="X187" t="s">
        <v>1149</v>
      </c>
      <c r="Y187">
        <v>0.3</v>
      </c>
      <c r="AA187">
        <v>-1</v>
      </c>
      <c r="AB187">
        <v>-0.7</v>
      </c>
      <c r="AD187">
        <v>0</v>
      </c>
      <c r="AF187">
        <v>11.2</v>
      </c>
      <c r="AG187">
        <v>3.1</v>
      </c>
      <c r="AI187">
        <v>11.3</v>
      </c>
      <c r="AJ187">
        <v>3.4</v>
      </c>
    </row>
    <row r="188" spans="1:40" customFormat="1" ht="18" customHeight="1">
      <c r="A188">
        <v>182</v>
      </c>
      <c r="B188" t="s">
        <v>908</v>
      </c>
      <c r="C188" t="s">
        <v>1548</v>
      </c>
      <c r="D188" t="s">
        <v>1548</v>
      </c>
      <c r="E188" t="s">
        <v>2451</v>
      </c>
      <c r="F188" t="s">
        <v>2478</v>
      </c>
      <c r="G188">
        <v>2023</v>
      </c>
      <c r="H188" t="s">
        <v>2036</v>
      </c>
      <c r="K188" t="s">
        <v>1653</v>
      </c>
      <c r="M188" t="s">
        <v>2686</v>
      </c>
      <c r="N188" t="s">
        <v>1656</v>
      </c>
      <c r="O188">
        <v>43.1</v>
      </c>
      <c r="P188">
        <v>11.11</v>
      </c>
      <c r="Q188">
        <v>20</v>
      </c>
      <c r="R188" s="716">
        <v>586</v>
      </c>
      <c r="S188" s="716">
        <v>420</v>
      </c>
      <c r="U188">
        <v>52</v>
      </c>
      <c r="V188">
        <v>11.89</v>
      </c>
      <c r="W188">
        <v>20</v>
      </c>
      <c r="X188" t="s">
        <v>1149</v>
      </c>
      <c r="Y188">
        <v>0.36</v>
      </c>
      <c r="AA188">
        <v>-1</v>
      </c>
      <c r="AB188">
        <v>-0.73</v>
      </c>
      <c r="AD188">
        <v>0</v>
      </c>
      <c r="AF188">
        <v>11.2</v>
      </c>
      <c r="AG188">
        <v>3.1</v>
      </c>
      <c r="AI188">
        <v>11.3</v>
      </c>
      <c r="AJ188">
        <v>3.4</v>
      </c>
    </row>
    <row r="189" spans="1:40" customFormat="1" ht="18" customHeight="1">
      <c r="A189">
        <v>183</v>
      </c>
      <c r="B189" t="s">
        <v>908</v>
      </c>
      <c r="C189" t="s">
        <v>1548</v>
      </c>
      <c r="D189" t="s">
        <v>1548</v>
      </c>
      <c r="E189" t="s">
        <v>2451</v>
      </c>
      <c r="F189" t="s">
        <v>37</v>
      </c>
      <c r="G189">
        <v>2007</v>
      </c>
      <c r="H189" t="s">
        <v>2025</v>
      </c>
      <c r="I189" t="s">
        <v>961</v>
      </c>
      <c r="J189" t="s">
        <v>961</v>
      </c>
      <c r="K189" t="s">
        <v>1405</v>
      </c>
      <c r="O189">
        <v>33.299999999999997</v>
      </c>
      <c r="P189">
        <v>16.295999999999999</v>
      </c>
      <c r="Q189">
        <v>9</v>
      </c>
      <c r="R189" s="716" t="s">
        <v>24</v>
      </c>
      <c r="S189" s="716"/>
      <c r="U189">
        <v>19.2</v>
      </c>
      <c r="V189">
        <v>10.37</v>
      </c>
      <c r="W189">
        <v>9</v>
      </c>
      <c r="Y189">
        <v>-1.03</v>
      </c>
      <c r="AA189">
        <v>1</v>
      </c>
      <c r="AB189">
        <v>-1.29</v>
      </c>
      <c r="AD189">
        <v>1</v>
      </c>
      <c r="AK189">
        <v>1</v>
      </c>
      <c r="AM189" t="s">
        <v>32</v>
      </c>
      <c r="AN189" t="s">
        <v>41</v>
      </c>
    </row>
    <row r="190" spans="1:40" customFormat="1" ht="18" customHeight="1">
      <c r="A190">
        <v>184</v>
      </c>
      <c r="B190" t="s">
        <v>908</v>
      </c>
      <c r="C190" t="s">
        <v>1548</v>
      </c>
      <c r="D190" t="s">
        <v>1548</v>
      </c>
      <c r="E190" t="s">
        <v>2451</v>
      </c>
      <c r="F190" t="s">
        <v>37</v>
      </c>
      <c r="G190">
        <v>2007</v>
      </c>
      <c r="H190" t="s">
        <v>2025</v>
      </c>
      <c r="I190" t="s">
        <v>1419</v>
      </c>
      <c r="J190" t="s">
        <v>1419</v>
      </c>
      <c r="K190" t="s">
        <v>1404</v>
      </c>
      <c r="O190">
        <v>316</v>
      </c>
      <c r="P190">
        <v>35.555999999999997</v>
      </c>
      <c r="Q190">
        <v>9</v>
      </c>
      <c r="R190" s="716">
        <v>1000</v>
      </c>
      <c r="S190" s="716"/>
      <c r="U190">
        <v>284</v>
      </c>
      <c r="V190">
        <v>15.555999999999999</v>
      </c>
      <c r="W190">
        <v>9</v>
      </c>
      <c r="Y190">
        <v>-1.17</v>
      </c>
      <c r="AA190">
        <v>1</v>
      </c>
      <c r="AB190">
        <v>-1.96</v>
      </c>
      <c r="AD190">
        <v>1</v>
      </c>
      <c r="AK190" t="s">
        <v>23</v>
      </c>
      <c r="AM190" t="s">
        <v>32</v>
      </c>
      <c r="AN190" t="s">
        <v>67</v>
      </c>
    </row>
    <row r="191" spans="1:40" customFormat="1" ht="18" customHeight="1">
      <c r="A191">
        <v>185</v>
      </c>
      <c r="B191" t="s">
        <v>908</v>
      </c>
      <c r="C191" t="s">
        <v>1548</v>
      </c>
      <c r="D191" t="s">
        <v>1548</v>
      </c>
      <c r="E191" t="s">
        <v>2451</v>
      </c>
      <c r="F191" t="s">
        <v>2055</v>
      </c>
      <c r="G191">
        <v>2022</v>
      </c>
      <c r="H191" t="s">
        <v>1650</v>
      </c>
      <c r="I191" t="s">
        <v>1419</v>
      </c>
      <c r="K191" t="s">
        <v>1651</v>
      </c>
      <c r="M191" t="s">
        <v>1652</v>
      </c>
      <c r="N191" t="s">
        <v>1642</v>
      </c>
      <c r="O191">
        <v>10</v>
      </c>
      <c r="P191">
        <v>2.5</v>
      </c>
      <c r="Q191">
        <v>30</v>
      </c>
      <c r="R191" s="716">
        <v>741</v>
      </c>
      <c r="S191" s="716" t="s">
        <v>1619</v>
      </c>
      <c r="U191">
        <v>11</v>
      </c>
      <c r="V191">
        <v>3.8</v>
      </c>
      <c r="W191">
        <v>54</v>
      </c>
      <c r="X191">
        <v>54</v>
      </c>
      <c r="Y191">
        <v>0.19</v>
      </c>
      <c r="AA191">
        <v>-1</v>
      </c>
      <c r="AB191">
        <v>-0.26</v>
      </c>
      <c r="AD191">
        <v>1</v>
      </c>
      <c r="AF191">
        <v>10.75</v>
      </c>
      <c r="AG191">
        <v>12.1</v>
      </c>
      <c r="AI191">
        <v>13.1</v>
      </c>
      <c r="AJ191">
        <v>3.2</v>
      </c>
    </row>
    <row r="192" spans="1:40" customFormat="1" ht="18" customHeight="1">
      <c r="A192">
        <v>186</v>
      </c>
      <c r="B192" t="s">
        <v>908</v>
      </c>
      <c r="C192" t="s">
        <v>1548</v>
      </c>
      <c r="D192" t="s">
        <v>1548</v>
      </c>
      <c r="E192" t="s">
        <v>2451</v>
      </c>
      <c r="F192" t="s">
        <v>2055</v>
      </c>
      <c r="G192">
        <v>2022</v>
      </c>
      <c r="H192" t="s">
        <v>1650</v>
      </c>
      <c r="K192" t="s">
        <v>1620</v>
      </c>
      <c r="M192" t="s">
        <v>1641</v>
      </c>
      <c r="N192" t="s">
        <v>1642</v>
      </c>
      <c r="O192">
        <v>0.1</v>
      </c>
      <c r="P192">
        <v>13.7</v>
      </c>
      <c r="Q192">
        <v>30</v>
      </c>
      <c r="R192" s="716">
        <v>741</v>
      </c>
      <c r="S192" s="716" t="s">
        <v>1619</v>
      </c>
      <c r="U192">
        <v>-0.7</v>
      </c>
      <c r="V192">
        <v>11.5</v>
      </c>
      <c r="W192">
        <v>54</v>
      </c>
      <c r="X192">
        <v>54</v>
      </c>
      <c r="Y192">
        <v>-0.15</v>
      </c>
      <c r="AA192">
        <v>1</v>
      </c>
      <c r="AB192">
        <v>-7.0000000000000007E-2</v>
      </c>
      <c r="AD192">
        <v>0</v>
      </c>
      <c r="AF192">
        <v>10.75</v>
      </c>
      <c r="AG192">
        <v>7.1</v>
      </c>
      <c r="AI192">
        <v>13.1</v>
      </c>
      <c r="AJ192">
        <v>3.2</v>
      </c>
    </row>
    <row r="193" spans="1:40" customFormat="1" ht="18" customHeight="1">
      <c r="A193">
        <v>187</v>
      </c>
      <c r="B193" t="s">
        <v>908</v>
      </c>
      <c r="C193" t="s">
        <v>1548</v>
      </c>
      <c r="D193" t="s">
        <v>1548</v>
      </c>
      <c r="E193" t="s">
        <v>2451</v>
      </c>
      <c r="F193" t="s">
        <v>2055</v>
      </c>
      <c r="G193">
        <v>2022</v>
      </c>
      <c r="H193" t="s">
        <v>1640</v>
      </c>
      <c r="K193" t="s">
        <v>1620</v>
      </c>
      <c r="M193" t="s">
        <v>1641</v>
      </c>
      <c r="N193" t="s">
        <v>1642</v>
      </c>
      <c r="O193">
        <v>6.4</v>
      </c>
      <c r="P193">
        <v>10.199999999999999</v>
      </c>
      <c r="Q193">
        <v>30</v>
      </c>
      <c r="R193" s="716">
        <v>741</v>
      </c>
      <c r="S193" s="716" t="s">
        <v>1619</v>
      </c>
      <c r="U193">
        <v>-2.2999999999999998</v>
      </c>
      <c r="V193">
        <v>11.8</v>
      </c>
      <c r="W193">
        <v>54</v>
      </c>
      <c r="X193">
        <v>54</v>
      </c>
      <c r="Y193">
        <v>-0.45</v>
      </c>
      <c r="AA193">
        <v>1</v>
      </c>
      <c r="AB193">
        <v>-0.73</v>
      </c>
      <c r="AD193">
        <v>0</v>
      </c>
      <c r="AF193" t="s">
        <v>1149</v>
      </c>
      <c r="AJ193" t="s">
        <v>1643</v>
      </c>
    </row>
    <row r="194" spans="1:40" customFormat="1" ht="18" customHeight="1">
      <c r="A194">
        <v>188</v>
      </c>
      <c r="B194" t="s">
        <v>908</v>
      </c>
      <c r="C194" t="s">
        <v>1548</v>
      </c>
      <c r="D194" t="s">
        <v>1548</v>
      </c>
      <c r="E194" t="s">
        <v>2451</v>
      </c>
      <c r="F194" t="s">
        <v>2055</v>
      </c>
      <c r="G194">
        <v>2022</v>
      </c>
      <c r="H194" t="s">
        <v>1640</v>
      </c>
      <c r="I194" t="s">
        <v>1419</v>
      </c>
      <c r="K194" t="s">
        <v>1644</v>
      </c>
      <c r="M194" t="s">
        <v>1645</v>
      </c>
      <c r="N194" t="s">
        <v>1642</v>
      </c>
      <c r="O194">
        <v>10</v>
      </c>
      <c r="P194">
        <v>2</v>
      </c>
      <c r="Q194">
        <v>30</v>
      </c>
      <c r="R194" s="716">
        <v>741</v>
      </c>
      <c r="S194" s="716" t="s">
        <v>1619</v>
      </c>
      <c r="U194">
        <v>12</v>
      </c>
      <c r="V194">
        <v>3</v>
      </c>
      <c r="W194">
        <v>54</v>
      </c>
      <c r="X194">
        <v>54</v>
      </c>
      <c r="Y194">
        <v>0.44</v>
      </c>
      <c r="AA194">
        <v>-1</v>
      </c>
      <c r="AB194">
        <v>-0.66</v>
      </c>
      <c r="AD194">
        <v>1</v>
      </c>
      <c r="AF194" t="s">
        <v>1149</v>
      </c>
    </row>
    <row r="195" spans="1:40" customFormat="1" ht="18" customHeight="1">
      <c r="A195">
        <v>189</v>
      </c>
      <c r="B195" t="s">
        <v>908</v>
      </c>
      <c r="C195" t="s">
        <v>1548</v>
      </c>
      <c r="D195" t="s">
        <v>1548</v>
      </c>
      <c r="E195" t="s">
        <v>2451</v>
      </c>
      <c r="F195" t="s">
        <v>2710</v>
      </c>
      <c r="G195">
        <v>2017</v>
      </c>
      <c r="H195" t="s">
        <v>2641</v>
      </c>
      <c r="I195" t="s">
        <v>1419</v>
      </c>
      <c r="J195" t="s">
        <v>1419</v>
      </c>
      <c r="K195" t="s">
        <v>68</v>
      </c>
      <c r="O195">
        <v>173</v>
      </c>
      <c r="P195">
        <v>94.6</v>
      </c>
      <c r="Q195">
        <v>37</v>
      </c>
      <c r="R195" s="716">
        <v>720</v>
      </c>
      <c r="S195" s="716"/>
      <c r="U195">
        <v>145</v>
      </c>
      <c r="V195">
        <v>62.9</v>
      </c>
      <c r="W195">
        <v>30</v>
      </c>
      <c r="Y195">
        <v>-0.35</v>
      </c>
      <c r="AA195">
        <v>1</v>
      </c>
      <c r="AB195">
        <v>-0.44</v>
      </c>
      <c r="AD195">
        <v>1</v>
      </c>
      <c r="AK195">
        <v>1</v>
      </c>
      <c r="AL195" t="s">
        <v>48</v>
      </c>
      <c r="AM195" t="s">
        <v>32</v>
      </c>
      <c r="AN195" t="s">
        <v>41</v>
      </c>
    </row>
    <row r="196" spans="1:40" customFormat="1" ht="18" customHeight="1">
      <c r="A196">
        <v>190</v>
      </c>
      <c r="B196" t="s">
        <v>908</v>
      </c>
      <c r="C196" t="s">
        <v>1548</v>
      </c>
      <c r="D196" t="s">
        <v>1548</v>
      </c>
      <c r="E196" t="s">
        <v>2451</v>
      </c>
      <c r="F196" t="s">
        <v>2710</v>
      </c>
      <c r="G196">
        <v>2017</v>
      </c>
      <c r="H196" t="s">
        <v>2641</v>
      </c>
      <c r="I196" t="s">
        <v>961</v>
      </c>
      <c r="J196" t="s">
        <v>961</v>
      </c>
      <c r="K196" t="s">
        <v>2600</v>
      </c>
      <c r="O196">
        <v>1.3</v>
      </c>
      <c r="P196">
        <v>2</v>
      </c>
      <c r="Q196">
        <v>37</v>
      </c>
      <c r="R196" s="716">
        <v>720</v>
      </c>
      <c r="S196" s="716"/>
      <c r="U196">
        <v>1.1000000000000001</v>
      </c>
      <c r="V196">
        <v>1.6</v>
      </c>
      <c r="W196">
        <v>30</v>
      </c>
      <c r="Y196">
        <v>-0.11</v>
      </c>
      <c r="AA196">
        <v>1</v>
      </c>
      <c r="AB196">
        <v>-0.12</v>
      </c>
      <c r="AD196">
        <v>1</v>
      </c>
      <c r="AK196">
        <v>1</v>
      </c>
      <c r="AL196" t="s">
        <v>48</v>
      </c>
      <c r="AM196" t="s">
        <v>32</v>
      </c>
      <c r="AN196" t="s">
        <v>41</v>
      </c>
    </row>
    <row r="197" spans="1:40" customFormat="1" ht="18" customHeight="1">
      <c r="A197">
        <v>191</v>
      </c>
      <c r="B197" t="s">
        <v>908</v>
      </c>
      <c r="C197" t="s">
        <v>1548</v>
      </c>
      <c r="D197" t="s">
        <v>1548</v>
      </c>
      <c r="E197" t="s">
        <v>2451</v>
      </c>
      <c r="F197" t="s">
        <v>2710</v>
      </c>
      <c r="G197">
        <v>2017</v>
      </c>
      <c r="H197" t="s">
        <v>2033</v>
      </c>
      <c r="K197" t="s">
        <v>2613</v>
      </c>
      <c r="O197">
        <v>0.5</v>
      </c>
      <c r="P197">
        <v>1.1000000000000001</v>
      </c>
      <c r="Q197">
        <v>37</v>
      </c>
      <c r="R197" s="716">
        <v>720</v>
      </c>
      <c r="S197" s="716"/>
      <c r="U197">
        <v>0.8</v>
      </c>
      <c r="V197">
        <v>1</v>
      </c>
      <c r="W197">
        <v>30</v>
      </c>
      <c r="Y197">
        <v>0.28999999999999998</v>
      </c>
      <c r="AA197">
        <v>1</v>
      </c>
      <c r="AB197">
        <v>0.3</v>
      </c>
      <c r="AD197">
        <v>1</v>
      </c>
      <c r="AK197">
        <v>1</v>
      </c>
      <c r="AL197" t="s">
        <v>48</v>
      </c>
      <c r="AM197" t="s">
        <v>32</v>
      </c>
      <c r="AN197" t="s">
        <v>41</v>
      </c>
    </row>
    <row r="198" spans="1:40" customFormat="1" ht="18" customHeight="1">
      <c r="A198">
        <v>192</v>
      </c>
      <c r="B198" t="s">
        <v>908</v>
      </c>
      <c r="C198" t="s">
        <v>1548</v>
      </c>
      <c r="D198" t="s">
        <v>1548</v>
      </c>
      <c r="E198" t="s">
        <v>2451</v>
      </c>
      <c r="F198" t="s">
        <v>2710</v>
      </c>
      <c r="G198">
        <v>2017</v>
      </c>
      <c r="H198" t="s">
        <v>2034</v>
      </c>
      <c r="K198" t="s">
        <v>1418</v>
      </c>
      <c r="O198">
        <v>111.3</v>
      </c>
      <c r="P198">
        <v>86.7</v>
      </c>
      <c r="Q198">
        <v>37</v>
      </c>
      <c r="R198" s="716">
        <v>720</v>
      </c>
      <c r="S198" s="716"/>
      <c r="U198">
        <v>94.3</v>
      </c>
      <c r="V198">
        <v>51.9</v>
      </c>
      <c r="W198">
        <v>30</v>
      </c>
      <c r="Y198">
        <v>-0.24</v>
      </c>
      <c r="AA198">
        <v>1</v>
      </c>
      <c r="AB198">
        <v>-0.32</v>
      </c>
      <c r="AD198">
        <v>1</v>
      </c>
      <c r="AK198">
        <v>1</v>
      </c>
      <c r="AL198" t="s">
        <v>48</v>
      </c>
      <c r="AM198" t="s">
        <v>32</v>
      </c>
      <c r="AN198" t="s">
        <v>41</v>
      </c>
    </row>
    <row r="199" spans="1:40" customFormat="1" ht="18" customHeight="1">
      <c r="A199">
        <v>193</v>
      </c>
      <c r="B199" t="s">
        <v>908</v>
      </c>
      <c r="C199" t="s">
        <v>1548</v>
      </c>
      <c r="D199" t="s">
        <v>1548</v>
      </c>
      <c r="E199" t="s">
        <v>2451</v>
      </c>
      <c r="F199" t="s">
        <v>2710</v>
      </c>
      <c r="G199">
        <v>2017</v>
      </c>
      <c r="H199" t="s">
        <v>2037</v>
      </c>
      <c r="I199" t="s">
        <v>961</v>
      </c>
      <c r="J199" t="s">
        <v>961</v>
      </c>
      <c r="K199" t="s">
        <v>1519</v>
      </c>
      <c r="L199" t="s">
        <v>1521</v>
      </c>
      <c r="O199">
        <v>0.6</v>
      </c>
      <c r="P199">
        <v>1.07</v>
      </c>
      <c r="Q199">
        <v>37</v>
      </c>
      <c r="R199" s="716">
        <v>720</v>
      </c>
      <c r="S199" s="716"/>
      <c r="U199">
        <v>0.8</v>
      </c>
      <c r="V199">
        <v>1</v>
      </c>
      <c r="W199">
        <v>30</v>
      </c>
      <c r="Y199" t="e">
        <v>#REF!</v>
      </c>
      <c r="AA199">
        <v>1</v>
      </c>
      <c r="AB199">
        <v>-0.16</v>
      </c>
      <c r="AD199">
        <v>0</v>
      </c>
      <c r="AE199" t="s">
        <v>2311</v>
      </c>
      <c r="AK199">
        <v>1</v>
      </c>
      <c r="AL199" t="s">
        <v>48</v>
      </c>
      <c r="AM199" t="s">
        <v>32</v>
      </c>
      <c r="AN199" t="s">
        <v>41</v>
      </c>
    </row>
    <row r="200" spans="1:40" customFormat="1" ht="18" customHeight="1">
      <c r="A200">
        <v>194</v>
      </c>
      <c r="B200" t="s">
        <v>908</v>
      </c>
      <c r="C200" t="s">
        <v>1548</v>
      </c>
      <c r="D200" t="s">
        <v>1548</v>
      </c>
      <c r="E200" t="s">
        <v>2451</v>
      </c>
      <c r="F200" t="s">
        <v>2710</v>
      </c>
      <c r="G200">
        <v>2017</v>
      </c>
      <c r="H200" t="s">
        <v>2037</v>
      </c>
      <c r="I200" t="s">
        <v>1419</v>
      </c>
      <c r="J200" t="s">
        <v>1419</v>
      </c>
      <c r="K200" t="s">
        <v>1518</v>
      </c>
      <c r="L200" t="s">
        <v>1521</v>
      </c>
      <c r="O200">
        <v>876.7</v>
      </c>
      <c r="P200">
        <v>206.05</v>
      </c>
      <c r="Q200">
        <v>37</v>
      </c>
      <c r="R200" s="716">
        <v>720</v>
      </c>
      <c r="S200" s="716"/>
      <c r="U200">
        <v>730</v>
      </c>
      <c r="V200">
        <v>130.33000000000001</v>
      </c>
      <c r="W200">
        <v>30</v>
      </c>
      <c r="Y200">
        <v>-0.85</v>
      </c>
      <c r="AA200">
        <v>1</v>
      </c>
      <c r="AB200">
        <v>0.7</v>
      </c>
      <c r="AD200">
        <v>0</v>
      </c>
      <c r="AE200" t="s">
        <v>2311</v>
      </c>
      <c r="AK200">
        <v>1</v>
      </c>
      <c r="AL200" t="s">
        <v>48</v>
      </c>
      <c r="AM200" t="s">
        <v>32</v>
      </c>
      <c r="AN200" t="s">
        <v>41</v>
      </c>
    </row>
    <row r="201" spans="1:40" customFormat="1" ht="18" customHeight="1">
      <c r="A201">
        <v>195</v>
      </c>
      <c r="B201" t="s">
        <v>908</v>
      </c>
      <c r="C201" t="s">
        <v>1548</v>
      </c>
      <c r="D201" t="s">
        <v>1548</v>
      </c>
      <c r="E201" t="s">
        <v>2451</v>
      </c>
      <c r="F201" t="s">
        <v>2482</v>
      </c>
      <c r="G201">
        <v>2011</v>
      </c>
      <c r="H201" t="s">
        <v>2668</v>
      </c>
      <c r="I201" t="s">
        <v>961</v>
      </c>
      <c r="J201" t="s">
        <v>961</v>
      </c>
      <c r="K201" t="s">
        <v>2652</v>
      </c>
      <c r="L201" s="510" t="s">
        <v>2645</v>
      </c>
      <c r="O201">
        <v>2</v>
      </c>
      <c r="Q201">
        <v>9</v>
      </c>
      <c r="R201" s="716">
        <v>1140</v>
      </c>
      <c r="S201" s="716">
        <v>310</v>
      </c>
      <c r="U201">
        <v>0</v>
      </c>
      <c r="W201">
        <v>15</v>
      </c>
      <c r="Y201" t="e">
        <v>#DIV/0!</v>
      </c>
      <c r="AA201">
        <v>1</v>
      </c>
      <c r="AD201">
        <v>0</v>
      </c>
      <c r="AK201">
        <v>1</v>
      </c>
      <c r="AL201" t="s">
        <v>48</v>
      </c>
      <c r="AM201" t="s">
        <v>69</v>
      </c>
      <c r="AN201" t="s">
        <v>41</v>
      </c>
    </row>
    <row r="202" spans="1:40" customFormat="1" ht="18" customHeight="1">
      <c r="A202">
        <v>196</v>
      </c>
      <c r="B202" t="s">
        <v>908</v>
      </c>
      <c r="C202" t="s">
        <v>1548</v>
      </c>
      <c r="D202" t="s">
        <v>1548</v>
      </c>
      <c r="E202" t="s">
        <v>2451</v>
      </c>
      <c r="F202" t="s">
        <v>2482</v>
      </c>
      <c r="G202">
        <v>2011</v>
      </c>
      <c r="H202" t="s">
        <v>2668</v>
      </c>
      <c r="I202" t="s">
        <v>961</v>
      </c>
      <c r="J202" t="s">
        <v>961</v>
      </c>
      <c r="K202" t="s">
        <v>2648</v>
      </c>
      <c r="L202" s="510" t="s">
        <v>2645</v>
      </c>
      <c r="O202">
        <v>2</v>
      </c>
      <c r="Q202">
        <v>9</v>
      </c>
      <c r="R202" s="716">
        <v>1140</v>
      </c>
      <c r="S202" s="716">
        <v>310</v>
      </c>
      <c r="U202">
        <v>2</v>
      </c>
      <c r="W202">
        <v>15</v>
      </c>
      <c r="Y202" t="e">
        <v>#DIV/0!</v>
      </c>
      <c r="AA202">
        <v>1</v>
      </c>
      <c r="AB202">
        <v>0</v>
      </c>
      <c r="AD202">
        <v>1</v>
      </c>
      <c r="AK202">
        <v>1</v>
      </c>
      <c r="AL202" t="s">
        <v>48</v>
      </c>
      <c r="AM202" t="s">
        <v>69</v>
      </c>
      <c r="AN202" t="s">
        <v>41</v>
      </c>
    </row>
    <row r="203" spans="1:40" customFormat="1" ht="18" customHeight="1">
      <c r="A203">
        <v>197</v>
      </c>
      <c r="B203" t="s">
        <v>908</v>
      </c>
      <c r="C203" t="s">
        <v>1548</v>
      </c>
      <c r="D203" t="s">
        <v>1548</v>
      </c>
      <c r="E203" t="s">
        <v>2451</v>
      </c>
      <c r="F203" t="s">
        <v>2482</v>
      </c>
      <c r="G203">
        <v>2011</v>
      </c>
      <c r="H203" t="s">
        <v>2668</v>
      </c>
      <c r="I203" t="s">
        <v>1419</v>
      </c>
      <c r="J203" t="s">
        <v>1419</v>
      </c>
      <c r="K203" t="s">
        <v>2649</v>
      </c>
      <c r="L203" s="510" t="s">
        <v>2645</v>
      </c>
      <c r="O203">
        <v>167.6</v>
      </c>
      <c r="P203">
        <v>81.3</v>
      </c>
      <c r="Q203">
        <v>9</v>
      </c>
      <c r="R203" s="716">
        <v>1140</v>
      </c>
      <c r="S203" s="716">
        <v>310</v>
      </c>
      <c r="U203">
        <v>157.19999999999999</v>
      </c>
      <c r="V203">
        <v>80.900000000000006</v>
      </c>
      <c r="W203">
        <v>15</v>
      </c>
      <c r="Y203">
        <v>-0.13</v>
      </c>
      <c r="AA203">
        <v>1</v>
      </c>
      <c r="AB203">
        <v>-0.12</v>
      </c>
      <c r="AD203">
        <v>1</v>
      </c>
      <c r="AK203">
        <v>1</v>
      </c>
      <c r="AL203" t="s">
        <v>48</v>
      </c>
      <c r="AM203" t="s">
        <v>69</v>
      </c>
      <c r="AN203" t="s">
        <v>41</v>
      </c>
    </row>
    <row r="204" spans="1:40" customFormat="1" ht="18" customHeight="1">
      <c r="A204">
        <v>198</v>
      </c>
      <c r="B204" t="s">
        <v>908</v>
      </c>
      <c r="C204" t="s">
        <v>1548</v>
      </c>
      <c r="D204" t="s">
        <v>1548</v>
      </c>
      <c r="E204" t="s">
        <v>2451</v>
      </c>
      <c r="F204" t="s">
        <v>2482</v>
      </c>
      <c r="G204">
        <v>2011</v>
      </c>
      <c r="H204" t="s">
        <v>2668</v>
      </c>
      <c r="I204" t="s">
        <v>1419</v>
      </c>
      <c r="J204" t="s">
        <v>1419</v>
      </c>
      <c r="K204" t="s">
        <v>2650</v>
      </c>
      <c r="L204" s="510" t="s">
        <v>2645</v>
      </c>
      <c r="O204">
        <v>121.5</v>
      </c>
      <c r="P204">
        <v>64</v>
      </c>
      <c r="Q204">
        <v>9</v>
      </c>
      <c r="R204" s="716">
        <v>1210</v>
      </c>
      <c r="S204" s="716">
        <v>320</v>
      </c>
      <c r="U204">
        <v>124.1</v>
      </c>
      <c r="V204">
        <v>98.6</v>
      </c>
      <c r="W204">
        <v>15</v>
      </c>
      <c r="Y204">
        <v>0.03</v>
      </c>
      <c r="AA204">
        <v>1</v>
      </c>
      <c r="AB204">
        <v>0.03</v>
      </c>
      <c r="AD204">
        <v>1</v>
      </c>
      <c r="AK204">
        <v>1</v>
      </c>
      <c r="AL204" t="s">
        <v>48</v>
      </c>
      <c r="AM204" t="s">
        <v>69</v>
      </c>
      <c r="AN204" t="s">
        <v>41</v>
      </c>
    </row>
    <row r="205" spans="1:40" customFormat="1" ht="18" customHeight="1">
      <c r="A205">
        <v>199</v>
      </c>
      <c r="L205" s="510"/>
      <c r="R205" s="716"/>
      <c r="S205" s="716"/>
    </row>
    <row r="206" spans="1:40" customFormat="1" ht="18" customHeight="1">
      <c r="A206">
        <v>200</v>
      </c>
      <c r="L206" s="510"/>
      <c r="R206" s="716"/>
      <c r="S206" s="716"/>
    </row>
    <row r="207" spans="1:40" customFormat="1" ht="18" customHeight="1">
      <c r="A207">
        <v>201</v>
      </c>
      <c r="L207" s="510"/>
      <c r="R207" s="716"/>
      <c r="S207" s="716"/>
    </row>
    <row r="208" spans="1:40" customFormat="1" ht="18" customHeight="1">
      <c r="A208">
        <v>202</v>
      </c>
      <c r="B208" t="s">
        <v>908</v>
      </c>
      <c r="C208" t="s">
        <v>1548</v>
      </c>
      <c r="D208" t="s">
        <v>1548</v>
      </c>
      <c r="E208" t="s">
        <v>2451</v>
      </c>
      <c r="F208" t="s">
        <v>2483</v>
      </c>
      <c r="G208">
        <v>2011</v>
      </c>
      <c r="H208" t="s">
        <v>2037</v>
      </c>
      <c r="I208" t="s">
        <v>1419</v>
      </c>
      <c r="K208" t="s">
        <v>1515</v>
      </c>
      <c r="L208" s="510" t="s">
        <v>2645</v>
      </c>
      <c r="O208">
        <v>1045</v>
      </c>
      <c r="P208">
        <v>137.9</v>
      </c>
      <c r="Q208">
        <v>9</v>
      </c>
      <c r="R208" s="716">
        <v>1210</v>
      </c>
      <c r="S208" s="716">
        <v>320</v>
      </c>
      <c r="U208">
        <v>1046.2</v>
      </c>
      <c r="V208">
        <v>213.9</v>
      </c>
      <c r="W208">
        <v>15</v>
      </c>
      <c r="Y208">
        <v>0.01</v>
      </c>
      <c r="AA208">
        <v>1</v>
      </c>
      <c r="AB208">
        <v>0.01</v>
      </c>
      <c r="AD208">
        <v>0</v>
      </c>
    </row>
    <row r="209" spans="1:40" customFormat="1" ht="18" customHeight="1">
      <c r="A209">
        <v>203</v>
      </c>
      <c r="B209" t="s">
        <v>908</v>
      </c>
      <c r="C209" t="s">
        <v>1548</v>
      </c>
      <c r="D209" t="s">
        <v>1548</v>
      </c>
      <c r="E209" t="s">
        <v>2451</v>
      </c>
      <c r="F209" t="s">
        <v>2483</v>
      </c>
      <c r="G209">
        <v>2011</v>
      </c>
      <c r="H209" t="s">
        <v>2037</v>
      </c>
      <c r="I209" t="s">
        <v>1419</v>
      </c>
      <c r="K209" t="s">
        <v>1515</v>
      </c>
      <c r="L209" s="510" t="s">
        <v>2645</v>
      </c>
      <c r="O209">
        <v>984.8</v>
      </c>
      <c r="P209">
        <v>210.4</v>
      </c>
      <c r="Q209">
        <v>9</v>
      </c>
      <c r="R209" s="716">
        <v>1210</v>
      </c>
      <c r="S209" s="716">
        <v>320</v>
      </c>
      <c r="U209">
        <v>962.2</v>
      </c>
      <c r="V209">
        <v>194.2</v>
      </c>
      <c r="W209">
        <v>15</v>
      </c>
      <c r="Y209">
        <v>-0.11</v>
      </c>
      <c r="AA209">
        <v>1</v>
      </c>
      <c r="AB209">
        <v>-0.11</v>
      </c>
      <c r="AD209">
        <v>0</v>
      </c>
    </row>
    <row r="210" spans="1:40" customFormat="1" ht="18" customHeight="1">
      <c r="A210">
        <v>204</v>
      </c>
      <c r="B210" t="s">
        <v>908</v>
      </c>
      <c r="C210" t="s">
        <v>1548</v>
      </c>
      <c r="D210" t="s">
        <v>1548</v>
      </c>
      <c r="E210" t="s">
        <v>2451</v>
      </c>
      <c r="F210" t="s">
        <v>55</v>
      </c>
      <c r="G210">
        <v>2020</v>
      </c>
      <c r="H210" t="s">
        <v>2025</v>
      </c>
      <c r="I210" t="s">
        <v>961</v>
      </c>
      <c r="J210" t="s">
        <v>961</v>
      </c>
      <c r="K210" t="s">
        <v>2624</v>
      </c>
      <c r="O210">
        <v>18.100000000000001</v>
      </c>
      <c r="P210">
        <v>13.4</v>
      </c>
      <c r="Q210">
        <v>16</v>
      </c>
      <c r="R210" s="716">
        <v>926</v>
      </c>
      <c r="S210" s="716"/>
      <c r="U210">
        <v>10.1</v>
      </c>
      <c r="V210">
        <v>6.5</v>
      </c>
      <c r="W210">
        <v>17</v>
      </c>
      <c r="Y210">
        <v>-0.76</v>
      </c>
      <c r="AA210">
        <v>1</v>
      </c>
      <c r="AB210">
        <v>-1.2</v>
      </c>
      <c r="AD210">
        <v>1</v>
      </c>
      <c r="AK210">
        <v>4</v>
      </c>
      <c r="AL210" t="s">
        <v>56</v>
      </c>
      <c r="AM210" t="s">
        <v>23</v>
      </c>
      <c r="AN210" t="s">
        <v>56</v>
      </c>
    </row>
    <row r="211" spans="1:40" customFormat="1" ht="18" customHeight="1">
      <c r="A211">
        <v>205</v>
      </c>
      <c r="B211" t="s">
        <v>908</v>
      </c>
      <c r="C211" t="s">
        <v>1548</v>
      </c>
      <c r="D211" t="s">
        <v>1548</v>
      </c>
      <c r="E211" t="s">
        <v>2451</v>
      </c>
      <c r="F211" t="s">
        <v>55</v>
      </c>
      <c r="G211">
        <v>2020</v>
      </c>
      <c r="H211" t="s">
        <v>2025</v>
      </c>
      <c r="I211" t="s">
        <v>1419</v>
      </c>
      <c r="J211" t="s">
        <v>1419</v>
      </c>
      <c r="K211" t="s">
        <v>1403</v>
      </c>
      <c r="O211">
        <v>471.1</v>
      </c>
      <c r="P211">
        <v>44.975000000000001</v>
      </c>
      <c r="Q211">
        <v>16</v>
      </c>
      <c r="R211" s="716">
        <v>926</v>
      </c>
      <c r="S211" s="716"/>
      <c r="U211">
        <v>448.6</v>
      </c>
      <c r="V211">
        <v>72.66</v>
      </c>
      <c r="W211">
        <v>17</v>
      </c>
      <c r="Y211">
        <v>-0.37</v>
      </c>
      <c r="AA211">
        <v>1</v>
      </c>
      <c r="AB211">
        <v>-0.3</v>
      </c>
      <c r="AD211">
        <v>1</v>
      </c>
      <c r="AK211">
        <v>4</v>
      </c>
      <c r="AL211" t="s">
        <v>56</v>
      </c>
      <c r="AM211" t="s">
        <v>23</v>
      </c>
      <c r="AN211" t="s">
        <v>56</v>
      </c>
    </row>
    <row r="212" spans="1:40" customFormat="1" ht="18" customHeight="1">
      <c r="A212">
        <v>206</v>
      </c>
      <c r="B212" t="s">
        <v>1353</v>
      </c>
      <c r="C212" t="s">
        <v>1548</v>
      </c>
      <c r="D212" t="s">
        <v>1548</v>
      </c>
      <c r="E212" t="s">
        <v>2451</v>
      </c>
      <c r="F212" t="s">
        <v>2457</v>
      </c>
      <c r="G212">
        <v>1996</v>
      </c>
      <c r="H212" t="s">
        <v>2037</v>
      </c>
      <c r="I212" t="s">
        <v>1419</v>
      </c>
      <c r="J212" t="s">
        <v>1419</v>
      </c>
      <c r="K212" t="s">
        <v>1493</v>
      </c>
      <c r="O212">
        <v>153.69999999999999</v>
      </c>
      <c r="P212">
        <v>45.9</v>
      </c>
      <c r="Q212">
        <v>20</v>
      </c>
      <c r="R212" s="716">
        <v>1253</v>
      </c>
      <c r="S212" s="716"/>
      <c r="U212">
        <v>114.4</v>
      </c>
      <c r="V212">
        <v>41.6</v>
      </c>
      <c r="W212">
        <v>20</v>
      </c>
      <c r="AA212">
        <v>1</v>
      </c>
      <c r="AB212">
        <v>-0.93</v>
      </c>
      <c r="AD212">
        <v>1</v>
      </c>
      <c r="AF212" t="s">
        <v>1549</v>
      </c>
    </row>
    <row r="213" spans="1:40" customFormat="1" ht="18" customHeight="1">
      <c r="A213">
        <v>207</v>
      </c>
      <c r="B213" t="s">
        <v>1353</v>
      </c>
      <c r="C213" t="s">
        <v>1548</v>
      </c>
      <c r="D213" t="s">
        <v>1548</v>
      </c>
      <c r="E213" t="s">
        <v>2451</v>
      </c>
      <c r="F213" t="s">
        <v>2461</v>
      </c>
      <c r="G213">
        <v>2002</v>
      </c>
      <c r="H213" t="s">
        <v>1266</v>
      </c>
      <c r="I213" t="s">
        <v>961</v>
      </c>
      <c r="J213" t="s">
        <v>961</v>
      </c>
      <c r="K213" t="s">
        <v>1215</v>
      </c>
      <c r="O213">
        <v>7.8</v>
      </c>
      <c r="P213">
        <v>5.7</v>
      </c>
      <c r="Q213">
        <v>36</v>
      </c>
      <c r="R213" s="716"/>
      <c r="S213" s="716"/>
      <c r="U213">
        <v>3.5</v>
      </c>
      <c r="V213">
        <v>3.96</v>
      </c>
      <c r="W213">
        <v>69</v>
      </c>
      <c r="AA213">
        <v>1</v>
      </c>
      <c r="AB213">
        <v>-1.07</v>
      </c>
      <c r="AD213">
        <v>1</v>
      </c>
      <c r="AF213">
        <v>11.18</v>
      </c>
      <c r="AG213">
        <v>3.4</v>
      </c>
      <c r="AI213">
        <v>10.29</v>
      </c>
      <c r="AJ213">
        <v>3.1</v>
      </c>
    </row>
    <row r="214" spans="1:40" customFormat="1" ht="18" customHeight="1">
      <c r="A214">
        <v>208</v>
      </c>
      <c r="B214" t="s">
        <v>1353</v>
      </c>
      <c r="C214" t="s">
        <v>1548</v>
      </c>
      <c r="D214" t="s">
        <v>1548</v>
      </c>
      <c r="E214" t="s">
        <v>2451</v>
      </c>
      <c r="F214" t="s">
        <v>2461</v>
      </c>
      <c r="G214">
        <v>2002</v>
      </c>
      <c r="H214" t="s">
        <v>1266</v>
      </c>
      <c r="K214" t="s">
        <v>1364</v>
      </c>
      <c r="O214">
        <v>3.8</v>
      </c>
      <c r="P214">
        <v>3</v>
      </c>
      <c r="Q214">
        <v>36</v>
      </c>
      <c r="R214" s="716"/>
      <c r="S214" s="716"/>
      <c r="U214">
        <v>2.7</v>
      </c>
      <c r="V214">
        <v>2.1</v>
      </c>
      <c r="W214">
        <v>69</v>
      </c>
      <c r="AA214">
        <v>1</v>
      </c>
      <c r="AB214">
        <v>-0.56000000000000005</v>
      </c>
      <c r="AD214">
        <v>1</v>
      </c>
      <c r="AF214">
        <v>11.18</v>
      </c>
      <c r="AG214">
        <v>3.4</v>
      </c>
      <c r="AI214">
        <v>10.29</v>
      </c>
      <c r="AJ214">
        <v>3.1</v>
      </c>
    </row>
    <row r="215" spans="1:40" customFormat="1" ht="18" customHeight="1">
      <c r="A215">
        <v>209</v>
      </c>
      <c r="B215" t="s">
        <v>1353</v>
      </c>
      <c r="C215" t="s">
        <v>1548</v>
      </c>
      <c r="D215" t="s">
        <v>1548</v>
      </c>
      <c r="E215" t="s">
        <v>2451</v>
      </c>
      <c r="F215" t="s">
        <v>2461</v>
      </c>
      <c r="G215">
        <v>2002</v>
      </c>
      <c r="H215" t="s">
        <v>1266</v>
      </c>
      <c r="I215" t="s">
        <v>1419</v>
      </c>
      <c r="J215" t="s">
        <v>1419</v>
      </c>
      <c r="K215" t="s">
        <v>1354</v>
      </c>
      <c r="O215">
        <v>160.4</v>
      </c>
      <c r="P215">
        <v>44.4</v>
      </c>
      <c r="Q215">
        <v>36</v>
      </c>
      <c r="R215" s="716"/>
      <c r="S215" s="716"/>
      <c r="U215">
        <v>133.4</v>
      </c>
      <c r="V215">
        <v>30.66</v>
      </c>
      <c r="W215">
        <v>69</v>
      </c>
      <c r="AA215">
        <v>1</v>
      </c>
      <c r="AB215">
        <v>-0.87</v>
      </c>
      <c r="AD215">
        <v>1</v>
      </c>
      <c r="AF215">
        <v>11.18</v>
      </c>
      <c r="AG215">
        <v>3.4</v>
      </c>
      <c r="AI215">
        <v>10.29</v>
      </c>
      <c r="AJ215">
        <v>3.1</v>
      </c>
    </row>
    <row r="216" spans="1:40" customFormat="1" ht="18" customHeight="1">
      <c r="A216">
        <v>210</v>
      </c>
      <c r="B216" t="s">
        <v>1353</v>
      </c>
      <c r="C216" t="s">
        <v>1548</v>
      </c>
      <c r="D216" t="s">
        <v>1548</v>
      </c>
      <c r="E216" t="s">
        <v>2451</v>
      </c>
      <c r="F216" t="s">
        <v>1390</v>
      </c>
      <c r="G216">
        <v>2003</v>
      </c>
      <c r="H216" t="s">
        <v>2037</v>
      </c>
      <c r="I216" t="s">
        <v>1419</v>
      </c>
      <c r="K216" t="s">
        <v>1197</v>
      </c>
      <c r="O216">
        <v>50.7</v>
      </c>
      <c r="P216">
        <v>8.3000000000000007</v>
      </c>
      <c r="Q216">
        <v>46</v>
      </c>
      <c r="R216" s="716">
        <v>490</v>
      </c>
      <c r="S216" s="716">
        <v>375</v>
      </c>
      <c r="U216">
        <v>52</v>
      </c>
      <c r="V216">
        <v>9.1</v>
      </c>
      <c r="W216">
        <v>18</v>
      </c>
      <c r="AA216">
        <v>-1</v>
      </c>
      <c r="AB216">
        <v>-0.14000000000000001</v>
      </c>
      <c r="AD216">
        <v>1</v>
      </c>
      <c r="AF216">
        <v>10.75</v>
      </c>
      <c r="AG216">
        <v>2.1</v>
      </c>
      <c r="AI216">
        <v>13.1</v>
      </c>
      <c r="AJ216">
        <v>3.2</v>
      </c>
    </row>
    <row r="217" spans="1:40" customFormat="1" ht="18" customHeight="1">
      <c r="A217">
        <v>211</v>
      </c>
      <c r="B217" t="s">
        <v>1353</v>
      </c>
      <c r="C217" t="s">
        <v>1548</v>
      </c>
      <c r="D217" t="s">
        <v>1548</v>
      </c>
      <c r="E217" t="s">
        <v>2451</v>
      </c>
      <c r="F217" t="s">
        <v>1397</v>
      </c>
      <c r="G217">
        <v>2006</v>
      </c>
      <c r="H217" t="s">
        <v>665</v>
      </c>
      <c r="I217" t="s">
        <v>961</v>
      </c>
      <c r="J217" t="s">
        <v>961</v>
      </c>
      <c r="K217" t="s">
        <v>671</v>
      </c>
      <c r="O217">
        <v>12.1</v>
      </c>
      <c r="P217">
        <v>11.5</v>
      </c>
      <c r="Q217">
        <v>26</v>
      </c>
      <c r="R217" s="716">
        <v>424</v>
      </c>
      <c r="S217" s="716">
        <v>339</v>
      </c>
      <c r="U217">
        <v>8.9</v>
      </c>
      <c r="V217">
        <v>7.6</v>
      </c>
      <c r="W217">
        <v>25</v>
      </c>
      <c r="AA217">
        <v>1</v>
      </c>
      <c r="AB217">
        <v>-0.41</v>
      </c>
      <c r="AD217">
        <v>1</v>
      </c>
      <c r="AF217">
        <v>11.2</v>
      </c>
      <c r="AG217">
        <v>3.1</v>
      </c>
      <c r="AI217">
        <v>11.3</v>
      </c>
      <c r="AJ217">
        <v>3.4</v>
      </c>
    </row>
    <row r="218" spans="1:40" customFormat="1" ht="18" customHeight="1">
      <c r="A218">
        <v>212</v>
      </c>
      <c r="B218" t="s">
        <v>1353</v>
      </c>
      <c r="C218" t="s">
        <v>1548</v>
      </c>
      <c r="D218" t="s">
        <v>1548</v>
      </c>
      <c r="E218" t="s">
        <v>2451</v>
      </c>
      <c r="F218" t="s">
        <v>1397</v>
      </c>
      <c r="G218">
        <v>2006</v>
      </c>
      <c r="H218" t="s">
        <v>665</v>
      </c>
      <c r="I218" t="s">
        <v>1419</v>
      </c>
      <c r="J218" t="s">
        <v>1419</v>
      </c>
      <c r="K218" t="s">
        <v>672</v>
      </c>
      <c r="O218">
        <v>392</v>
      </c>
      <c r="P218">
        <v>77</v>
      </c>
      <c r="Q218">
        <v>26</v>
      </c>
      <c r="R218" s="716">
        <v>424</v>
      </c>
      <c r="S218" s="716">
        <v>339</v>
      </c>
      <c r="U218">
        <v>353</v>
      </c>
      <c r="V218">
        <v>65</v>
      </c>
      <c r="W218">
        <v>25</v>
      </c>
      <c r="AA218">
        <v>1</v>
      </c>
      <c r="AB218">
        <v>-0.59</v>
      </c>
      <c r="AD218">
        <v>1</v>
      </c>
      <c r="AF218">
        <v>11.2</v>
      </c>
      <c r="AG218">
        <v>3.1</v>
      </c>
      <c r="AI218">
        <v>11.3</v>
      </c>
      <c r="AJ218">
        <v>3.4</v>
      </c>
    </row>
    <row r="219" spans="1:40" customFormat="1" ht="18" customHeight="1">
      <c r="A219">
        <v>213</v>
      </c>
      <c r="B219" t="s">
        <v>1353</v>
      </c>
      <c r="C219" t="s">
        <v>1548</v>
      </c>
      <c r="D219" t="s">
        <v>1548</v>
      </c>
      <c r="E219" t="s">
        <v>2451</v>
      </c>
      <c r="F219" t="s">
        <v>1397</v>
      </c>
      <c r="G219">
        <v>2006</v>
      </c>
      <c r="H219" t="s">
        <v>2025</v>
      </c>
      <c r="I219" t="s">
        <v>961</v>
      </c>
      <c r="J219" t="s">
        <v>961</v>
      </c>
      <c r="K219" t="s">
        <v>671</v>
      </c>
      <c r="O219">
        <v>31.7</v>
      </c>
      <c r="P219">
        <v>17.399999999999999</v>
      </c>
      <c r="Q219">
        <v>26</v>
      </c>
      <c r="R219" s="716">
        <v>424</v>
      </c>
      <c r="S219" s="716">
        <v>339</v>
      </c>
      <c r="U219">
        <v>25.1</v>
      </c>
      <c r="V219">
        <v>14.4</v>
      </c>
      <c r="W219">
        <v>25</v>
      </c>
      <c r="AA219">
        <v>1</v>
      </c>
      <c r="AB219">
        <v>-0.45</v>
      </c>
      <c r="AD219">
        <v>1</v>
      </c>
      <c r="AF219">
        <v>11.2</v>
      </c>
      <c r="AG219">
        <v>3.1</v>
      </c>
      <c r="AI219">
        <v>11.3</v>
      </c>
      <c r="AJ219">
        <v>3.4</v>
      </c>
    </row>
    <row r="220" spans="1:40" customFormat="1" ht="18" customHeight="1">
      <c r="A220">
        <v>214</v>
      </c>
      <c r="B220" t="s">
        <v>1353</v>
      </c>
      <c r="C220" t="s">
        <v>1548</v>
      </c>
      <c r="D220" t="s">
        <v>1548</v>
      </c>
      <c r="E220" t="s">
        <v>2451</v>
      </c>
      <c r="F220" t="s">
        <v>1397</v>
      </c>
      <c r="G220">
        <v>2006</v>
      </c>
      <c r="H220" t="s">
        <v>2025</v>
      </c>
      <c r="I220" t="s">
        <v>1419</v>
      </c>
      <c r="J220" t="s">
        <v>1419</v>
      </c>
      <c r="K220" t="s">
        <v>672</v>
      </c>
      <c r="O220">
        <v>443</v>
      </c>
      <c r="P220">
        <v>67</v>
      </c>
      <c r="Q220">
        <v>26</v>
      </c>
      <c r="R220" s="716">
        <v>424</v>
      </c>
      <c r="S220" s="716">
        <v>339</v>
      </c>
      <c r="U220">
        <v>439</v>
      </c>
      <c r="V220">
        <v>79</v>
      </c>
      <c r="W220">
        <v>25</v>
      </c>
      <c r="AA220">
        <v>1</v>
      </c>
      <c r="AB220">
        <v>-0.05</v>
      </c>
      <c r="AD220">
        <v>1</v>
      </c>
      <c r="AF220">
        <v>11.2</v>
      </c>
      <c r="AG220">
        <v>3.1</v>
      </c>
      <c r="AI220">
        <v>11.3</v>
      </c>
      <c r="AJ220">
        <v>3.4</v>
      </c>
    </row>
    <row r="221" spans="1:40" customFormat="1" ht="18" customHeight="1">
      <c r="A221">
        <v>215</v>
      </c>
      <c r="B221" t="s">
        <v>1353</v>
      </c>
      <c r="C221" t="s">
        <v>1548</v>
      </c>
      <c r="D221" t="s">
        <v>1548</v>
      </c>
      <c r="E221" t="s">
        <v>2451</v>
      </c>
      <c r="F221" t="s">
        <v>1397</v>
      </c>
      <c r="G221">
        <v>2006</v>
      </c>
      <c r="H221" t="s">
        <v>2035</v>
      </c>
      <c r="I221" t="s">
        <v>961</v>
      </c>
      <c r="J221" t="s">
        <v>961</v>
      </c>
      <c r="K221" t="s">
        <v>671</v>
      </c>
      <c r="O221">
        <v>7.1</v>
      </c>
      <c r="P221">
        <v>8.9</v>
      </c>
      <c r="Q221">
        <v>26</v>
      </c>
      <c r="R221" s="716">
        <v>424</v>
      </c>
      <c r="S221" s="716">
        <v>339</v>
      </c>
      <c r="U221">
        <v>8.9</v>
      </c>
      <c r="V221">
        <v>7.5</v>
      </c>
      <c r="W221">
        <v>25</v>
      </c>
      <c r="AA221">
        <v>1</v>
      </c>
      <c r="AB221">
        <v>0.24</v>
      </c>
      <c r="AD221">
        <v>1</v>
      </c>
      <c r="AF221">
        <v>11.2</v>
      </c>
      <c r="AG221">
        <v>3.1</v>
      </c>
      <c r="AI221">
        <v>11.3</v>
      </c>
      <c r="AJ221">
        <v>3.4</v>
      </c>
    </row>
    <row r="222" spans="1:40" customFormat="1" ht="18" customHeight="1">
      <c r="A222">
        <v>216</v>
      </c>
      <c r="B222" t="s">
        <v>1353</v>
      </c>
      <c r="C222" t="s">
        <v>1548</v>
      </c>
      <c r="D222" t="s">
        <v>1548</v>
      </c>
      <c r="E222" t="s">
        <v>2451</v>
      </c>
      <c r="F222" t="s">
        <v>1397</v>
      </c>
      <c r="G222">
        <v>2006</v>
      </c>
      <c r="H222" t="s">
        <v>2035</v>
      </c>
      <c r="K222" t="s">
        <v>1215</v>
      </c>
      <c r="M222" t="s">
        <v>667</v>
      </c>
      <c r="O222">
        <v>2.2000000000000002</v>
      </c>
      <c r="P222">
        <v>3.2</v>
      </c>
      <c r="Q222">
        <v>26</v>
      </c>
      <c r="R222" s="716">
        <v>424</v>
      </c>
      <c r="S222" s="716">
        <v>339</v>
      </c>
      <c r="U222">
        <v>1.6</v>
      </c>
      <c r="V222">
        <v>2.2999999999999998</v>
      </c>
      <c r="W222">
        <v>25</v>
      </c>
      <c r="AA222">
        <v>1</v>
      </c>
      <c r="AB222">
        <v>-0.26</v>
      </c>
      <c r="AD222">
        <v>1</v>
      </c>
      <c r="AF222">
        <v>11.2</v>
      </c>
      <c r="AG222">
        <v>3.1</v>
      </c>
      <c r="AI222">
        <v>11.3</v>
      </c>
      <c r="AJ222">
        <v>3.4</v>
      </c>
    </row>
    <row r="223" spans="1:40" customFormat="1" ht="18" customHeight="1">
      <c r="A223">
        <v>217</v>
      </c>
      <c r="B223" t="s">
        <v>1353</v>
      </c>
      <c r="C223" t="s">
        <v>1548</v>
      </c>
      <c r="D223" t="s">
        <v>1548</v>
      </c>
      <c r="E223" t="s">
        <v>2451</v>
      </c>
      <c r="F223" t="s">
        <v>1397</v>
      </c>
      <c r="G223">
        <v>2006</v>
      </c>
      <c r="H223" t="s">
        <v>2035</v>
      </c>
      <c r="I223" t="s">
        <v>1419</v>
      </c>
      <c r="J223" t="s">
        <v>1419</v>
      </c>
      <c r="K223" t="s">
        <v>672</v>
      </c>
      <c r="O223">
        <v>777</v>
      </c>
      <c r="P223">
        <v>219</v>
      </c>
      <c r="Q223">
        <v>26</v>
      </c>
      <c r="R223" s="716">
        <v>424</v>
      </c>
      <c r="S223" s="716">
        <v>339</v>
      </c>
      <c r="U223">
        <v>736</v>
      </c>
      <c r="V223">
        <v>231</v>
      </c>
      <c r="W223">
        <v>25</v>
      </c>
      <c r="AA223">
        <v>1</v>
      </c>
      <c r="AB223">
        <v>-0.17</v>
      </c>
      <c r="AD223">
        <v>1</v>
      </c>
      <c r="AF223">
        <v>11.2</v>
      </c>
      <c r="AG223">
        <v>3.1</v>
      </c>
      <c r="AI223">
        <v>11.3</v>
      </c>
      <c r="AJ223">
        <v>3.4</v>
      </c>
    </row>
    <row r="224" spans="1:40" customFormat="1" ht="18" customHeight="1">
      <c r="A224">
        <v>218</v>
      </c>
      <c r="B224" t="s">
        <v>1353</v>
      </c>
      <c r="C224" t="s">
        <v>1548</v>
      </c>
      <c r="D224" t="s">
        <v>1548</v>
      </c>
      <c r="E224" t="s">
        <v>2451</v>
      </c>
      <c r="F224" t="s">
        <v>1397</v>
      </c>
      <c r="G224">
        <v>2006</v>
      </c>
      <c r="H224" t="s">
        <v>2037</v>
      </c>
      <c r="I224" t="s">
        <v>1419</v>
      </c>
      <c r="K224" t="s">
        <v>1419</v>
      </c>
      <c r="M224" t="s">
        <v>667</v>
      </c>
      <c r="O224">
        <v>875</v>
      </c>
      <c r="P224">
        <v>186</v>
      </c>
      <c r="Q224">
        <v>26</v>
      </c>
      <c r="R224" s="716">
        <v>424</v>
      </c>
      <c r="S224" s="716">
        <v>339</v>
      </c>
      <c r="U224">
        <v>870</v>
      </c>
      <c r="V224">
        <v>252</v>
      </c>
      <c r="W224">
        <v>25</v>
      </c>
      <c r="AA224">
        <v>1</v>
      </c>
      <c r="AB224">
        <v>-0.02</v>
      </c>
      <c r="AC224">
        <v>-0.05</v>
      </c>
      <c r="AD224">
        <v>1</v>
      </c>
      <c r="AF224">
        <v>11.2</v>
      </c>
      <c r="AG224">
        <v>3.1</v>
      </c>
      <c r="AI224">
        <v>11.3</v>
      </c>
      <c r="AJ224">
        <v>3.4</v>
      </c>
    </row>
    <row r="225" spans="1:40" customFormat="1" ht="18" customHeight="1">
      <c r="A225">
        <v>219</v>
      </c>
      <c r="B225" t="s">
        <v>1353</v>
      </c>
      <c r="C225" t="s">
        <v>1548</v>
      </c>
      <c r="D225" t="s">
        <v>1548</v>
      </c>
      <c r="E225" t="s">
        <v>2451</v>
      </c>
      <c r="F225" t="s">
        <v>1393</v>
      </c>
      <c r="G225">
        <v>2005</v>
      </c>
      <c r="H225" t="s">
        <v>2037</v>
      </c>
      <c r="I225" t="s">
        <v>1419</v>
      </c>
      <c r="K225" t="s">
        <v>1495</v>
      </c>
      <c r="O225">
        <v>42</v>
      </c>
      <c r="P225">
        <v>10</v>
      </c>
      <c r="Q225">
        <v>26</v>
      </c>
      <c r="R225" s="716">
        <v>489</v>
      </c>
      <c r="S225" s="716">
        <v>181</v>
      </c>
      <c r="U225">
        <v>50</v>
      </c>
      <c r="V225">
        <v>7</v>
      </c>
      <c r="W225">
        <v>21</v>
      </c>
      <c r="AA225">
        <v>-1</v>
      </c>
      <c r="AB225">
        <v>-1.1200000000000001</v>
      </c>
      <c r="AD225">
        <v>1</v>
      </c>
    </row>
    <row r="226" spans="1:40" customFormat="1" ht="18" customHeight="1">
      <c r="A226">
        <v>220</v>
      </c>
      <c r="B226" t="s">
        <v>1353</v>
      </c>
      <c r="C226" t="s">
        <v>1548</v>
      </c>
      <c r="D226" t="s">
        <v>1548</v>
      </c>
      <c r="E226" t="s">
        <v>2451</v>
      </c>
      <c r="F226" t="s">
        <v>1490</v>
      </c>
      <c r="G226">
        <v>2014</v>
      </c>
      <c r="H226" t="s">
        <v>2026</v>
      </c>
      <c r="K226" t="s">
        <v>1492</v>
      </c>
      <c r="L226" t="s">
        <v>1509</v>
      </c>
      <c r="O226">
        <v>14.6</v>
      </c>
      <c r="P226">
        <v>11.4</v>
      </c>
      <c r="Q226">
        <v>21</v>
      </c>
      <c r="R226" s="716">
        <v>590</v>
      </c>
      <c r="S226" s="716">
        <v>248</v>
      </c>
      <c r="U226">
        <v>7.2</v>
      </c>
      <c r="V226">
        <v>7.1</v>
      </c>
      <c r="W226">
        <v>73</v>
      </c>
      <c r="AA226">
        <v>1</v>
      </c>
      <c r="AB226">
        <v>-1.03</v>
      </c>
      <c r="AD226">
        <v>1</v>
      </c>
      <c r="AF226">
        <v>10.6</v>
      </c>
      <c r="AG226">
        <v>2.5</v>
      </c>
      <c r="AI226">
        <v>10.9</v>
      </c>
      <c r="AJ226">
        <v>2.2000000000000002</v>
      </c>
    </row>
    <row r="227" spans="1:40" customFormat="1" ht="18" customHeight="1">
      <c r="A227">
        <v>221</v>
      </c>
      <c r="B227" t="s">
        <v>1353</v>
      </c>
      <c r="C227" t="s">
        <v>1548</v>
      </c>
      <c r="D227" t="s">
        <v>1548</v>
      </c>
      <c r="E227" t="s">
        <v>2451</v>
      </c>
      <c r="F227" t="s">
        <v>1490</v>
      </c>
      <c r="G227">
        <v>2014</v>
      </c>
      <c r="H227" t="s">
        <v>2035</v>
      </c>
      <c r="K227" t="s">
        <v>1270</v>
      </c>
      <c r="L227" t="s">
        <v>1509</v>
      </c>
      <c r="O227">
        <v>7.1</v>
      </c>
      <c r="P227">
        <v>7.7</v>
      </c>
      <c r="Q227">
        <v>21</v>
      </c>
      <c r="R227" s="716">
        <v>590</v>
      </c>
      <c r="S227" s="716">
        <v>248</v>
      </c>
      <c r="U227">
        <v>4.2</v>
      </c>
      <c r="V227">
        <v>3.7</v>
      </c>
      <c r="W227">
        <v>73</v>
      </c>
      <c r="AA227">
        <v>1</v>
      </c>
      <c r="AB227">
        <v>-0.78</v>
      </c>
      <c r="AD227">
        <v>1</v>
      </c>
      <c r="AF227">
        <v>10.6</v>
      </c>
      <c r="AG227">
        <v>2.5</v>
      </c>
      <c r="AI227">
        <v>10.9</v>
      </c>
      <c r="AJ227">
        <v>2.2000000000000002</v>
      </c>
    </row>
    <row r="228" spans="1:40" customFormat="1" ht="18" customHeight="1">
      <c r="A228">
        <v>222</v>
      </c>
      <c r="B228" t="s">
        <v>1353</v>
      </c>
      <c r="C228" t="s">
        <v>1548</v>
      </c>
      <c r="D228" t="s">
        <v>1548</v>
      </c>
      <c r="E228" t="s">
        <v>2451</v>
      </c>
      <c r="F228" t="s">
        <v>1394</v>
      </c>
      <c r="G228">
        <v>2008</v>
      </c>
      <c r="H228" t="s">
        <v>2053</v>
      </c>
      <c r="K228" t="s">
        <v>2052</v>
      </c>
      <c r="O228">
        <v>37.9</v>
      </c>
      <c r="P228">
        <v>1.95</v>
      </c>
      <c r="Q228">
        <v>14</v>
      </c>
      <c r="R228" s="716">
        <v>491</v>
      </c>
      <c r="S228" s="716">
        <v>149</v>
      </c>
      <c r="U228">
        <v>37.5</v>
      </c>
      <c r="V228">
        <v>1.45</v>
      </c>
      <c r="W228">
        <v>14</v>
      </c>
      <c r="AA228">
        <v>-1</v>
      </c>
      <c r="AB228">
        <v>0.26</v>
      </c>
      <c r="AD228">
        <v>1</v>
      </c>
      <c r="AF228">
        <v>10.8</v>
      </c>
      <c r="AG228">
        <v>1.25</v>
      </c>
      <c r="AI228">
        <v>10.9</v>
      </c>
      <c r="AJ228">
        <v>1.3</v>
      </c>
    </row>
    <row r="229" spans="1:40" customFormat="1" ht="18" customHeight="1">
      <c r="A229">
        <v>223</v>
      </c>
      <c r="B229" t="s">
        <v>1353</v>
      </c>
      <c r="C229" t="s">
        <v>1548</v>
      </c>
      <c r="D229" t="s">
        <v>1548</v>
      </c>
      <c r="E229" t="s">
        <v>2451</v>
      </c>
      <c r="F229" t="s">
        <v>1500</v>
      </c>
      <c r="G229">
        <v>2020</v>
      </c>
      <c r="H229" t="s">
        <v>2486</v>
      </c>
      <c r="K229" s="510" t="s">
        <v>1440</v>
      </c>
      <c r="L229" t="s">
        <v>1441</v>
      </c>
      <c r="N229" t="s">
        <v>1436</v>
      </c>
      <c r="O229">
        <v>7</v>
      </c>
      <c r="P229">
        <v>2</v>
      </c>
      <c r="Q229">
        <v>15</v>
      </c>
      <c r="R229" s="716">
        <v>289</v>
      </c>
      <c r="S229" s="716">
        <v>83</v>
      </c>
      <c r="U229">
        <v>10</v>
      </c>
      <c r="V229">
        <v>2</v>
      </c>
      <c r="W229">
        <v>14</v>
      </c>
      <c r="AA229">
        <v>-1</v>
      </c>
      <c r="AB229">
        <v>-1.46</v>
      </c>
      <c r="AD229">
        <v>1</v>
      </c>
    </row>
    <row r="230" spans="1:40" customFormat="1" ht="18" customHeight="1">
      <c r="A230">
        <v>224</v>
      </c>
      <c r="B230" t="s">
        <v>1353</v>
      </c>
      <c r="C230" t="s">
        <v>1548</v>
      </c>
      <c r="D230" t="s">
        <v>1548</v>
      </c>
      <c r="E230" t="s">
        <v>2451</v>
      </c>
      <c r="F230" t="s">
        <v>2457</v>
      </c>
      <c r="G230">
        <v>1996</v>
      </c>
      <c r="H230" t="s">
        <v>2037</v>
      </c>
      <c r="I230" t="s">
        <v>961</v>
      </c>
      <c r="J230" t="s">
        <v>961</v>
      </c>
      <c r="K230" t="s">
        <v>2659</v>
      </c>
      <c r="L230" t="s">
        <v>1525</v>
      </c>
      <c r="O230">
        <v>15.4</v>
      </c>
      <c r="P230">
        <v>14.2</v>
      </c>
      <c r="Q230">
        <v>20</v>
      </c>
      <c r="R230" s="716">
        <v>582</v>
      </c>
      <c r="S230" s="716">
        <v>372</v>
      </c>
      <c r="U230">
        <v>7.5</v>
      </c>
      <c r="V230">
        <v>9.1</v>
      </c>
      <c r="W230">
        <v>20</v>
      </c>
      <c r="AA230">
        <v>1</v>
      </c>
      <c r="AB230">
        <v>-0.85</v>
      </c>
      <c r="AD230">
        <v>1</v>
      </c>
      <c r="AF230">
        <v>10.9</v>
      </c>
      <c r="AG230">
        <v>1.3</v>
      </c>
      <c r="AI230">
        <v>11</v>
      </c>
      <c r="AJ230">
        <v>1.1000000000000001</v>
      </c>
    </row>
    <row r="231" spans="1:40" customFormat="1" ht="18" customHeight="1">
      <c r="A231">
        <v>225</v>
      </c>
      <c r="B231" t="s">
        <v>1353</v>
      </c>
      <c r="C231" t="s">
        <v>1548</v>
      </c>
      <c r="D231" t="s">
        <v>1548</v>
      </c>
      <c r="E231" t="s">
        <v>2451</v>
      </c>
      <c r="F231" t="s">
        <v>2457</v>
      </c>
      <c r="G231">
        <v>1999</v>
      </c>
      <c r="H231" t="s">
        <v>2037</v>
      </c>
      <c r="I231" t="s">
        <v>961</v>
      </c>
      <c r="J231" t="s">
        <v>961</v>
      </c>
      <c r="K231" t="s">
        <v>2655</v>
      </c>
      <c r="L231" t="s">
        <v>1526</v>
      </c>
      <c r="M231" t="s">
        <v>1282</v>
      </c>
      <c r="O231">
        <v>11.6</v>
      </c>
      <c r="P231">
        <v>11.7</v>
      </c>
      <c r="Q231">
        <v>20</v>
      </c>
      <c r="R231" s="716">
        <v>744</v>
      </c>
      <c r="S231" s="716">
        <v>456</v>
      </c>
      <c r="U231">
        <v>4.5</v>
      </c>
      <c r="V231">
        <v>3.4</v>
      </c>
      <c r="W231">
        <v>20</v>
      </c>
      <c r="AA231">
        <v>1</v>
      </c>
      <c r="AB231">
        <v>-2.0499999999999998</v>
      </c>
      <c r="AD231">
        <v>1</v>
      </c>
      <c r="AE231">
        <v>-0.61</v>
      </c>
      <c r="AF231">
        <v>13.9</v>
      </c>
      <c r="AG231">
        <v>1.3</v>
      </c>
      <c r="AI231">
        <v>14</v>
      </c>
      <c r="AJ231">
        <v>1.1000000000000001</v>
      </c>
    </row>
    <row r="232" spans="1:40" customFormat="1" ht="18" customHeight="1">
      <c r="A232">
        <v>226</v>
      </c>
      <c r="B232" t="s">
        <v>1353</v>
      </c>
      <c r="C232" t="s">
        <v>1548</v>
      </c>
      <c r="D232" t="s">
        <v>1548</v>
      </c>
      <c r="E232" t="s">
        <v>2451</v>
      </c>
      <c r="F232" t="s">
        <v>2457</v>
      </c>
      <c r="G232">
        <v>1999</v>
      </c>
      <c r="H232" t="s">
        <v>2037</v>
      </c>
      <c r="I232" t="s">
        <v>1419</v>
      </c>
      <c r="J232" t="s">
        <v>1419</v>
      </c>
      <c r="K232" t="s">
        <v>2422</v>
      </c>
      <c r="L232" t="s">
        <v>1497</v>
      </c>
      <c r="O232">
        <v>110.6</v>
      </c>
      <c r="P232">
        <v>24.2</v>
      </c>
      <c r="Q232">
        <v>20</v>
      </c>
      <c r="R232" s="716">
        <v>744</v>
      </c>
      <c r="S232" s="716">
        <v>456</v>
      </c>
      <c r="U232">
        <v>103.5</v>
      </c>
      <c r="V232">
        <v>22.2</v>
      </c>
      <c r="W232">
        <v>20</v>
      </c>
      <c r="AA232">
        <v>1</v>
      </c>
      <c r="AB232">
        <v>-0.31</v>
      </c>
      <c r="AD232">
        <v>1</v>
      </c>
      <c r="AE232">
        <v>-0.63</v>
      </c>
    </row>
    <row r="233" spans="1:40" customFormat="1" ht="18" customHeight="1">
      <c r="A233">
        <v>227</v>
      </c>
      <c r="B233" t="s">
        <v>1353</v>
      </c>
      <c r="C233" t="s">
        <v>1548</v>
      </c>
      <c r="D233" t="s">
        <v>1548</v>
      </c>
      <c r="E233" t="s">
        <v>2451</v>
      </c>
      <c r="F233" t="s">
        <v>662</v>
      </c>
      <c r="G233">
        <v>2001</v>
      </c>
      <c r="H233" t="s">
        <v>2037</v>
      </c>
      <c r="K233" t="s">
        <v>2683</v>
      </c>
      <c r="M233" t="s">
        <v>633</v>
      </c>
      <c r="O233">
        <v>37.700000000000003</v>
      </c>
      <c r="P233">
        <v>16.329999999999998</v>
      </c>
      <c r="Q233">
        <v>23</v>
      </c>
      <c r="R233" s="716">
        <v>496</v>
      </c>
      <c r="S233" s="716">
        <v>230</v>
      </c>
      <c r="U233">
        <v>48.7</v>
      </c>
      <c r="V233">
        <v>15.62</v>
      </c>
      <c r="W233">
        <v>23</v>
      </c>
      <c r="AA233">
        <v>-1</v>
      </c>
      <c r="AB233">
        <v>-0.69</v>
      </c>
      <c r="AD233">
        <v>1</v>
      </c>
      <c r="AF233">
        <v>10.7</v>
      </c>
      <c r="AG233">
        <v>3.4</v>
      </c>
      <c r="AI233">
        <v>11.1</v>
      </c>
      <c r="AJ233">
        <v>3.7</v>
      </c>
    </row>
    <row r="234" spans="1:40" customFormat="1" ht="18" customHeight="1">
      <c r="A234">
        <v>228</v>
      </c>
      <c r="B234" t="s">
        <v>1553</v>
      </c>
      <c r="C234" t="s">
        <v>1548</v>
      </c>
      <c r="D234" t="s">
        <v>1548</v>
      </c>
      <c r="E234" t="s">
        <v>2451</v>
      </c>
      <c r="F234" t="s">
        <v>1389</v>
      </c>
      <c r="G234">
        <v>2007</v>
      </c>
      <c r="H234" t="s">
        <v>2035</v>
      </c>
      <c r="I234" t="s">
        <v>961</v>
      </c>
      <c r="J234" t="s">
        <v>961</v>
      </c>
      <c r="K234" t="s">
        <v>2625</v>
      </c>
      <c r="L234" t="s">
        <v>1249</v>
      </c>
      <c r="M234" t="s">
        <v>1251</v>
      </c>
      <c r="O234">
        <v>8.6999999999999993</v>
      </c>
      <c r="P234">
        <v>3.35</v>
      </c>
      <c r="Q234">
        <v>15</v>
      </c>
      <c r="R234" s="716">
        <v>660</v>
      </c>
      <c r="S234" s="716">
        <v>337</v>
      </c>
      <c r="U234">
        <v>10</v>
      </c>
      <c r="V234">
        <v>3</v>
      </c>
      <c r="W234">
        <v>20</v>
      </c>
      <c r="AA234">
        <v>-1</v>
      </c>
      <c r="AB234">
        <v>-0.41</v>
      </c>
      <c r="AD234">
        <v>1</v>
      </c>
      <c r="AF234">
        <v>14.8</v>
      </c>
      <c r="AG234">
        <v>3</v>
      </c>
    </row>
    <row r="235" spans="1:40" customFormat="1" ht="18" customHeight="1">
      <c r="A235">
        <v>229</v>
      </c>
      <c r="B235" t="s">
        <v>1553</v>
      </c>
      <c r="C235" t="s">
        <v>1548</v>
      </c>
      <c r="D235" t="s">
        <v>1548</v>
      </c>
      <c r="E235" t="s">
        <v>2451</v>
      </c>
      <c r="F235" t="s">
        <v>1389</v>
      </c>
      <c r="G235">
        <v>2007</v>
      </c>
      <c r="H235" t="s">
        <v>2035</v>
      </c>
      <c r="I235" t="s">
        <v>961</v>
      </c>
      <c r="J235" t="s">
        <v>961</v>
      </c>
      <c r="K235" t="s">
        <v>2626</v>
      </c>
      <c r="L235" t="s">
        <v>1250</v>
      </c>
      <c r="M235" t="s">
        <v>1251</v>
      </c>
      <c r="O235">
        <v>9.5</v>
      </c>
      <c r="P235">
        <v>2.0699999999999998</v>
      </c>
      <c r="Q235">
        <v>15</v>
      </c>
      <c r="R235" s="716">
        <v>660</v>
      </c>
      <c r="S235" s="716">
        <v>337</v>
      </c>
      <c r="U235">
        <v>10</v>
      </c>
      <c r="V235">
        <v>3</v>
      </c>
      <c r="W235">
        <v>20</v>
      </c>
      <c r="AA235">
        <v>-1</v>
      </c>
      <c r="AB235">
        <v>-0.15</v>
      </c>
      <c r="AD235">
        <v>1</v>
      </c>
      <c r="AF235">
        <v>14.8</v>
      </c>
      <c r="AG235">
        <v>3</v>
      </c>
    </row>
    <row r="236" spans="1:40" customFormat="1" ht="18" customHeight="1">
      <c r="A236">
        <v>230</v>
      </c>
      <c r="B236" t="s">
        <v>1553</v>
      </c>
      <c r="C236" t="s">
        <v>1548</v>
      </c>
      <c r="D236" t="s">
        <v>1548</v>
      </c>
      <c r="E236" t="s">
        <v>2451</v>
      </c>
      <c r="F236" t="s">
        <v>1389</v>
      </c>
      <c r="G236">
        <v>2007</v>
      </c>
      <c r="H236" t="s">
        <v>2037</v>
      </c>
      <c r="I236" t="s">
        <v>1419</v>
      </c>
      <c r="J236" t="s">
        <v>1419</v>
      </c>
      <c r="K236" t="s">
        <v>1528</v>
      </c>
      <c r="L236" t="s">
        <v>1249</v>
      </c>
      <c r="M236" t="s">
        <v>1251</v>
      </c>
      <c r="O236">
        <v>9.4</v>
      </c>
      <c r="P236">
        <v>4.3</v>
      </c>
      <c r="Q236">
        <v>15</v>
      </c>
      <c r="R236" s="716">
        <v>660</v>
      </c>
      <c r="S236" s="716">
        <v>337</v>
      </c>
      <c r="U236">
        <v>10</v>
      </c>
      <c r="V236">
        <v>3</v>
      </c>
      <c r="W236">
        <v>20</v>
      </c>
      <c r="AA236">
        <v>-1</v>
      </c>
      <c r="AB236">
        <v>-0.2</v>
      </c>
      <c r="AD236">
        <v>1</v>
      </c>
      <c r="AF236">
        <v>14.8</v>
      </c>
      <c r="AG236">
        <v>3</v>
      </c>
    </row>
    <row r="237" spans="1:40" customFormat="1" ht="18" customHeight="1">
      <c r="A237">
        <v>231</v>
      </c>
      <c r="B237" t="s">
        <v>1553</v>
      </c>
      <c r="C237" t="s">
        <v>1548</v>
      </c>
      <c r="D237" t="s">
        <v>1548</v>
      </c>
      <c r="E237" t="s">
        <v>2451</v>
      </c>
      <c r="F237" t="s">
        <v>1389</v>
      </c>
      <c r="G237">
        <v>2007</v>
      </c>
      <c r="H237" t="s">
        <v>2037</v>
      </c>
      <c r="I237" t="s">
        <v>1419</v>
      </c>
      <c r="J237" t="s">
        <v>1419</v>
      </c>
      <c r="K237" t="s">
        <v>1529</v>
      </c>
      <c r="L237" t="s">
        <v>1250</v>
      </c>
      <c r="M237" t="s">
        <v>1251</v>
      </c>
      <c r="O237">
        <v>8.3000000000000007</v>
      </c>
      <c r="P237">
        <v>4.2</v>
      </c>
      <c r="Q237">
        <v>15</v>
      </c>
      <c r="R237" s="716">
        <v>660</v>
      </c>
      <c r="S237" s="716">
        <v>337</v>
      </c>
      <c r="U237">
        <v>10</v>
      </c>
      <c r="V237">
        <v>3</v>
      </c>
      <c r="W237">
        <v>20</v>
      </c>
      <c r="AA237">
        <v>-1</v>
      </c>
      <c r="AB237">
        <v>-0.56999999999999995</v>
      </c>
      <c r="AD237">
        <v>1</v>
      </c>
      <c r="AF237">
        <v>14.8</v>
      </c>
      <c r="AG237">
        <v>3</v>
      </c>
    </row>
    <row r="238" spans="1:40" customFormat="1" ht="18" customHeight="1">
      <c r="A238">
        <v>232</v>
      </c>
      <c r="B238" t="s">
        <v>908</v>
      </c>
      <c r="C238" t="s">
        <v>1547</v>
      </c>
      <c r="D238" t="s">
        <v>1547</v>
      </c>
      <c r="F238" t="s">
        <v>2482</v>
      </c>
      <c r="G238">
        <v>2011</v>
      </c>
      <c r="H238" t="s">
        <v>2646</v>
      </c>
      <c r="I238" t="s">
        <v>961</v>
      </c>
      <c r="J238" t="s">
        <v>961</v>
      </c>
      <c r="K238" t="s">
        <v>2667</v>
      </c>
      <c r="L238" s="510" t="s">
        <v>2645</v>
      </c>
      <c r="O238">
        <v>0</v>
      </c>
      <c r="Q238">
        <v>9</v>
      </c>
      <c r="R238" s="716">
        <v>1140</v>
      </c>
      <c r="S238" s="716">
        <v>310</v>
      </c>
      <c r="U238">
        <v>0</v>
      </c>
      <c r="W238">
        <v>15</v>
      </c>
      <c r="Y238" t="e">
        <v>#DIV/0!</v>
      </c>
      <c r="AA238">
        <v>1</v>
      </c>
      <c r="AB238">
        <v>0</v>
      </c>
      <c r="AD238">
        <v>1</v>
      </c>
      <c r="AK238">
        <v>1</v>
      </c>
      <c r="AL238" t="s">
        <v>48</v>
      </c>
      <c r="AM238" t="s">
        <v>69</v>
      </c>
      <c r="AN238" t="s">
        <v>41</v>
      </c>
    </row>
    <row r="239" spans="1:40" customFormat="1" ht="18" customHeight="1">
      <c r="A239">
        <v>233</v>
      </c>
      <c r="B239" t="s">
        <v>908</v>
      </c>
      <c r="C239" t="s">
        <v>1547</v>
      </c>
      <c r="D239" t="s">
        <v>1547</v>
      </c>
      <c r="F239" t="s">
        <v>2482</v>
      </c>
      <c r="G239">
        <v>2011</v>
      </c>
      <c r="H239" t="s">
        <v>2646</v>
      </c>
      <c r="I239" t="s">
        <v>1419</v>
      </c>
      <c r="J239" t="s">
        <v>1419</v>
      </c>
      <c r="K239" t="s">
        <v>2647</v>
      </c>
      <c r="L239" s="510" t="s">
        <v>2660</v>
      </c>
      <c r="O239">
        <v>877.9</v>
      </c>
      <c r="P239">
        <v>120.7</v>
      </c>
      <c r="Q239">
        <v>9</v>
      </c>
      <c r="R239" s="716">
        <v>1140</v>
      </c>
      <c r="S239" s="716">
        <v>310</v>
      </c>
      <c r="U239">
        <v>889</v>
      </c>
      <c r="V239">
        <v>154.1</v>
      </c>
      <c r="W239">
        <v>15</v>
      </c>
      <c r="Y239">
        <v>0.08</v>
      </c>
      <c r="AA239">
        <v>1</v>
      </c>
      <c r="AB239">
        <v>7.0000000000000007E-2</v>
      </c>
      <c r="AD239">
        <v>1</v>
      </c>
      <c r="AK239">
        <v>1</v>
      </c>
      <c r="AL239" t="s">
        <v>48</v>
      </c>
      <c r="AM239" t="s">
        <v>69</v>
      </c>
      <c r="AN239" t="s">
        <v>41</v>
      </c>
    </row>
    <row r="240" spans="1:40" customFormat="1" ht="18" customHeight="1">
      <c r="A240">
        <v>234</v>
      </c>
      <c r="B240" t="s">
        <v>908</v>
      </c>
      <c r="C240" t="s">
        <v>1547</v>
      </c>
      <c r="D240" t="s">
        <v>1547</v>
      </c>
      <c r="F240" t="s">
        <v>2482</v>
      </c>
      <c r="G240">
        <v>2011</v>
      </c>
      <c r="H240" t="s">
        <v>2646</v>
      </c>
      <c r="I240" t="s">
        <v>1419</v>
      </c>
      <c r="J240" t="s">
        <v>1419</v>
      </c>
      <c r="K240" t="s">
        <v>2651</v>
      </c>
      <c r="L240" s="510" t="s">
        <v>2645</v>
      </c>
      <c r="O240">
        <v>863.3</v>
      </c>
      <c r="P240">
        <v>175.1</v>
      </c>
      <c r="Q240">
        <v>8</v>
      </c>
      <c r="R240" s="716">
        <v>1210</v>
      </c>
      <c r="S240" s="716">
        <v>320</v>
      </c>
      <c r="U240">
        <v>838.1</v>
      </c>
      <c r="V240">
        <v>135.5</v>
      </c>
      <c r="W240">
        <v>15</v>
      </c>
      <c r="Y240">
        <v>-0.16</v>
      </c>
      <c r="AA240">
        <v>1</v>
      </c>
      <c r="AB240">
        <v>-0.18</v>
      </c>
      <c r="AD240">
        <v>1</v>
      </c>
      <c r="AK240">
        <v>1</v>
      </c>
      <c r="AL240" t="s">
        <v>48</v>
      </c>
      <c r="AM240" t="s">
        <v>69</v>
      </c>
      <c r="AN240" t="s">
        <v>41</v>
      </c>
    </row>
    <row r="241" spans="1:40" customFormat="1" ht="18" customHeight="1">
      <c r="A241">
        <v>235</v>
      </c>
      <c r="B241" t="s">
        <v>908</v>
      </c>
      <c r="C241" t="s">
        <v>1547</v>
      </c>
      <c r="D241" t="s">
        <v>1547</v>
      </c>
      <c r="F241" t="s">
        <v>2482</v>
      </c>
      <c r="G241">
        <v>2011</v>
      </c>
      <c r="H241" t="s">
        <v>2646</v>
      </c>
      <c r="I241" t="s">
        <v>961</v>
      </c>
      <c r="J241" t="s">
        <v>961</v>
      </c>
      <c r="K241" t="s">
        <v>2666</v>
      </c>
      <c r="L241" s="510" t="s">
        <v>2645</v>
      </c>
      <c r="O241">
        <v>2</v>
      </c>
      <c r="Q241">
        <v>9</v>
      </c>
      <c r="R241" s="716">
        <v>1140</v>
      </c>
      <c r="S241" s="716">
        <v>310</v>
      </c>
      <c r="U241">
        <v>0</v>
      </c>
      <c r="W241">
        <v>15</v>
      </c>
      <c r="Y241" t="e">
        <v>#DIV/0!</v>
      </c>
      <c r="AA241">
        <v>1</v>
      </c>
      <c r="AD241">
        <v>0</v>
      </c>
      <c r="AK241">
        <v>1</v>
      </c>
      <c r="AL241" t="s">
        <v>48</v>
      </c>
      <c r="AM241" t="s">
        <v>69</v>
      </c>
      <c r="AN241" t="s">
        <v>41</v>
      </c>
    </row>
    <row r="242" spans="1:40" customFormat="1" ht="18" customHeight="1">
      <c r="A242">
        <v>236</v>
      </c>
      <c r="B242" t="s">
        <v>1353</v>
      </c>
      <c r="C242" t="s">
        <v>1547</v>
      </c>
      <c r="D242" t="s">
        <v>1547</v>
      </c>
      <c r="F242" t="s">
        <v>1490</v>
      </c>
      <c r="G242">
        <v>2014</v>
      </c>
      <c r="H242" t="s">
        <v>2026</v>
      </c>
      <c r="K242" t="s">
        <v>1491</v>
      </c>
      <c r="L242" t="s">
        <v>1509</v>
      </c>
      <c r="O242">
        <v>4.4000000000000004</v>
      </c>
      <c r="P242">
        <v>5.4</v>
      </c>
      <c r="Q242">
        <v>21</v>
      </c>
      <c r="R242" s="716">
        <v>590</v>
      </c>
      <c r="S242" s="716">
        <v>248</v>
      </c>
      <c r="U242">
        <v>2.1</v>
      </c>
      <c r="V242">
        <v>2.9</v>
      </c>
      <c r="W242">
        <v>73</v>
      </c>
      <c r="AA242">
        <v>1</v>
      </c>
      <c r="AB242">
        <v>-0.79</v>
      </c>
      <c r="AD242">
        <v>1</v>
      </c>
    </row>
    <row r="243" spans="1:40" customFormat="1" ht="18" customHeight="1">
      <c r="A243">
        <v>237</v>
      </c>
      <c r="B243" t="s">
        <v>908</v>
      </c>
      <c r="C243" t="s">
        <v>1547</v>
      </c>
      <c r="D243" t="s">
        <v>1547</v>
      </c>
      <c r="F243" t="s">
        <v>33</v>
      </c>
      <c r="G243">
        <v>2005</v>
      </c>
      <c r="H243" t="s">
        <v>2496</v>
      </c>
      <c r="I243" t="s">
        <v>1419</v>
      </c>
      <c r="J243" t="s">
        <v>1419</v>
      </c>
      <c r="K243" t="s">
        <v>1487</v>
      </c>
      <c r="O243">
        <v>0.5</v>
      </c>
      <c r="P243">
        <v>0.06</v>
      </c>
      <c r="Q243">
        <v>25</v>
      </c>
      <c r="R243" s="716">
        <v>759</v>
      </c>
      <c r="S243" s="716"/>
      <c r="U243">
        <v>0.4</v>
      </c>
      <c r="V243">
        <v>0.04</v>
      </c>
      <c r="W243">
        <v>25</v>
      </c>
      <c r="Y243">
        <v>-0.78</v>
      </c>
      <c r="AA243">
        <v>1</v>
      </c>
      <c r="AB243">
        <v>-0.98</v>
      </c>
      <c r="AD243">
        <v>1</v>
      </c>
      <c r="AK243">
        <v>2</v>
      </c>
      <c r="AL243" t="s">
        <v>31</v>
      </c>
      <c r="AM243" t="s">
        <v>32</v>
      </c>
      <c r="AN243" t="s">
        <v>31</v>
      </c>
    </row>
    <row r="244" spans="1:40" customFormat="1" ht="18" customHeight="1">
      <c r="A244">
        <v>238</v>
      </c>
      <c r="B244" t="s">
        <v>908</v>
      </c>
      <c r="C244" t="s">
        <v>1547</v>
      </c>
      <c r="D244" t="s">
        <v>1547</v>
      </c>
      <c r="F244" t="s">
        <v>63</v>
      </c>
      <c r="G244">
        <v>2007</v>
      </c>
      <c r="H244" t="s">
        <v>2496</v>
      </c>
      <c r="I244" t="s">
        <v>1419</v>
      </c>
      <c r="J244" t="s">
        <v>1419</v>
      </c>
      <c r="K244" t="s">
        <v>1487</v>
      </c>
      <c r="O244">
        <v>0.5</v>
      </c>
      <c r="P244">
        <v>7.0000000000000007E-2</v>
      </c>
      <c r="Q244">
        <v>25</v>
      </c>
      <c r="R244" s="716">
        <v>1287</v>
      </c>
      <c r="S244" s="716"/>
      <c r="U244">
        <v>0.4</v>
      </c>
      <c r="V244">
        <v>0.06</v>
      </c>
      <c r="W244">
        <v>45</v>
      </c>
      <c r="Y244">
        <v>-0.92</v>
      </c>
      <c r="AA244">
        <v>1</v>
      </c>
      <c r="AB244">
        <v>-0.99</v>
      </c>
      <c r="AD244">
        <v>1</v>
      </c>
      <c r="AK244">
        <v>2</v>
      </c>
      <c r="AL244" t="s">
        <v>31</v>
      </c>
      <c r="AM244" t="s">
        <v>32</v>
      </c>
      <c r="AN244" t="s">
        <v>31</v>
      </c>
    </row>
    <row r="245" spans="1:40" customFormat="1" ht="18" customHeight="1">
      <c r="A245">
        <v>239</v>
      </c>
      <c r="B245" t="s">
        <v>1353</v>
      </c>
      <c r="C245" t="s">
        <v>1547</v>
      </c>
      <c r="D245" t="s">
        <v>1547</v>
      </c>
      <c r="F245" t="s">
        <v>1397</v>
      </c>
      <c r="G245">
        <v>2006</v>
      </c>
      <c r="H245" t="s">
        <v>2496</v>
      </c>
      <c r="I245" t="s">
        <v>1419</v>
      </c>
      <c r="J245" t="s">
        <v>1419</v>
      </c>
      <c r="K245" t="s">
        <v>1524</v>
      </c>
      <c r="O245">
        <v>766</v>
      </c>
      <c r="P245">
        <v>212</v>
      </c>
      <c r="Q245">
        <v>26</v>
      </c>
      <c r="R245" s="716">
        <v>424</v>
      </c>
      <c r="S245" s="716">
        <v>339</v>
      </c>
      <c r="U245">
        <v>707</v>
      </c>
      <c r="V245">
        <v>211</v>
      </c>
      <c r="W245">
        <v>25</v>
      </c>
      <c r="AA245">
        <v>1</v>
      </c>
      <c r="AB245">
        <v>-0.28000000000000003</v>
      </c>
      <c r="AD245">
        <v>1</v>
      </c>
      <c r="AF245">
        <v>11.2</v>
      </c>
      <c r="AG245">
        <v>3.1</v>
      </c>
      <c r="AI245">
        <v>11.3</v>
      </c>
      <c r="AJ245">
        <v>3.4</v>
      </c>
    </row>
    <row r="246" spans="1:40" customFormat="1" ht="18" customHeight="1">
      <c r="A246">
        <v>240</v>
      </c>
      <c r="B246" t="s">
        <v>908</v>
      </c>
      <c r="C246" t="s">
        <v>1547</v>
      </c>
      <c r="D246" t="s">
        <v>1547</v>
      </c>
      <c r="F246" t="s">
        <v>33</v>
      </c>
      <c r="G246">
        <v>2005</v>
      </c>
      <c r="H246" t="s">
        <v>2563</v>
      </c>
      <c r="I246" t="s">
        <v>961</v>
      </c>
      <c r="J246" t="s">
        <v>961</v>
      </c>
      <c r="K246" t="s">
        <v>1483</v>
      </c>
      <c r="O246">
        <v>99.4</v>
      </c>
      <c r="P246">
        <v>1.03</v>
      </c>
      <c r="Q246">
        <v>25</v>
      </c>
      <c r="R246" s="716">
        <v>759</v>
      </c>
      <c r="S246" s="716"/>
      <c r="U246">
        <v>99</v>
      </c>
      <c r="V246">
        <v>1.91</v>
      </c>
      <c r="W246">
        <v>25</v>
      </c>
      <c r="Y246">
        <v>-0.23</v>
      </c>
      <c r="AA246">
        <v>1</v>
      </c>
      <c r="AB246">
        <v>-0.18</v>
      </c>
      <c r="AD246">
        <v>1</v>
      </c>
      <c r="AK246">
        <v>2</v>
      </c>
      <c r="AL246" t="s">
        <v>31</v>
      </c>
      <c r="AM246" t="s">
        <v>32</v>
      </c>
      <c r="AN246" t="s">
        <v>31</v>
      </c>
    </row>
    <row r="247" spans="1:40" customFormat="1" ht="18" customHeight="1">
      <c r="A247">
        <v>241</v>
      </c>
      <c r="B247" t="s">
        <v>908</v>
      </c>
      <c r="C247" t="s">
        <v>1547</v>
      </c>
      <c r="D247" t="s">
        <v>1547</v>
      </c>
      <c r="F247" t="s">
        <v>63</v>
      </c>
      <c r="G247">
        <v>2007</v>
      </c>
      <c r="H247" t="s">
        <v>2563</v>
      </c>
      <c r="I247" t="s">
        <v>961</v>
      </c>
      <c r="J247" t="s">
        <v>961</v>
      </c>
      <c r="K247" t="s">
        <v>1485</v>
      </c>
      <c r="O247">
        <v>98</v>
      </c>
      <c r="P247">
        <v>1.57</v>
      </c>
      <c r="Q247">
        <v>25</v>
      </c>
      <c r="R247" s="716">
        <v>1286</v>
      </c>
      <c r="S247" s="716"/>
      <c r="U247">
        <v>99.3</v>
      </c>
      <c r="V247">
        <v>1.59</v>
      </c>
      <c r="W247">
        <v>45</v>
      </c>
      <c r="Y247">
        <v>0.81</v>
      </c>
      <c r="AA247">
        <v>-1</v>
      </c>
      <c r="AB247">
        <v>-0.8</v>
      </c>
      <c r="AD247">
        <v>1</v>
      </c>
      <c r="AK247">
        <v>2</v>
      </c>
      <c r="AL247" t="s">
        <v>31</v>
      </c>
      <c r="AM247" t="s">
        <v>32</v>
      </c>
      <c r="AN247" t="s">
        <v>31</v>
      </c>
    </row>
    <row r="248" spans="1:40" customFormat="1" ht="18" customHeight="1">
      <c r="A248">
        <v>242</v>
      </c>
      <c r="B248" t="s">
        <v>1353</v>
      </c>
      <c r="C248" t="s">
        <v>1547</v>
      </c>
      <c r="D248" t="s">
        <v>1547</v>
      </c>
      <c r="F248" t="s">
        <v>1490</v>
      </c>
      <c r="G248">
        <v>2014</v>
      </c>
      <c r="H248" t="s">
        <v>2563</v>
      </c>
      <c r="K248" t="s">
        <v>1523</v>
      </c>
      <c r="L248" t="s">
        <v>1509</v>
      </c>
      <c r="O248">
        <v>7</v>
      </c>
      <c r="P248">
        <v>7.9</v>
      </c>
      <c r="Q248">
        <v>21</v>
      </c>
      <c r="R248" s="716">
        <v>590</v>
      </c>
      <c r="S248" s="716">
        <v>248</v>
      </c>
      <c r="U248">
        <v>3.9</v>
      </c>
      <c r="V248">
        <v>3.7</v>
      </c>
      <c r="W248">
        <v>73</v>
      </c>
      <c r="AA248">
        <v>1</v>
      </c>
      <c r="AB248">
        <v>-0.83</v>
      </c>
      <c r="AD248">
        <v>1</v>
      </c>
    </row>
    <row r="249" spans="1:40" customFormat="1" ht="18" customHeight="1">
      <c r="A249">
        <v>243</v>
      </c>
      <c r="B249" t="s">
        <v>1353</v>
      </c>
      <c r="C249" t="s">
        <v>1547</v>
      </c>
      <c r="D249" t="s">
        <v>1547</v>
      </c>
      <c r="F249" t="s">
        <v>1397</v>
      </c>
      <c r="G249">
        <v>2006</v>
      </c>
      <c r="H249" t="s">
        <v>2563</v>
      </c>
      <c r="I249" t="s">
        <v>961</v>
      </c>
      <c r="J249" t="s">
        <v>961</v>
      </c>
      <c r="K249" t="s">
        <v>1522</v>
      </c>
      <c r="O249">
        <v>5.8</v>
      </c>
      <c r="P249">
        <v>5.7</v>
      </c>
      <c r="Q249">
        <v>26</v>
      </c>
      <c r="R249" s="716">
        <v>424</v>
      </c>
      <c r="S249" s="716">
        <v>339</v>
      </c>
      <c r="U249">
        <v>6.1</v>
      </c>
      <c r="V249">
        <v>6.5</v>
      </c>
      <c r="W249">
        <v>25</v>
      </c>
      <c r="AA249">
        <v>1</v>
      </c>
      <c r="AB249">
        <v>0.05</v>
      </c>
      <c r="AD249">
        <v>1</v>
      </c>
    </row>
    <row r="250" spans="1:40" customFormat="1" ht="18" customHeight="1">
      <c r="A250">
        <v>244</v>
      </c>
      <c r="B250" t="s">
        <v>908</v>
      </c>
      <c r="C250" t="s">
        <v>2708</v>
      </c>
      <c r="D250" t="s">
        <v>2708</v>
      </c>
      <c r="F250" t="s">
        <v>2710</v>
      </c>
      <c r="G250">
        <v>2017</v>
      </c>
      <c r="H250" t="s">
        <v>2454</v>
      </c>
      <c r="I250" t="s">
        <v>961</v>
      </c>
      <c r="J250" t="s">
        <v>961</v>
      </c>
      <c r="K250" t="s">
        <v>1516</v>
      </c>
      <c r="L250" t="s">
        <v>1520</v>
      </c>
      <c r="O250">
        <v>0</v>
      </c>
      <c r="P250">
        <v>0.18</v>
      </c>
      <c r="Q250">
        <v>37</v>
      </c>
      <c r="R250" s="716">
        <v>720</v>
      </c>
      <c r="S250" s="716"/>
      <c r="U250">
        <v>0</v>
      </c>
      <c r="V250">
        <v>0.18</v>
      </c>
      <c r="W250">
        <v>30</v>
      </c>
      <c r="Y250" t="e">
        <v>#REF!</v>
      </c>
      <c r="AA250">
        <v>1</v>
      </c>
      <c r="AB250">
        <v>0.16</v>
      </c>
      <c r="AD250">
        <v>1</v>
      </c>
      <c r="AK250">
        <v>1</v>
      </c>
      <c r="AL250" t="s">
        <v>48</v>
      </c>
      <c r="AM250" t="s">
        <v>32</v>
      </c>
      <c r="AN250" t="s">
        <v>41</v>
      </c>
    </row>
    <row r="251" spans="1:40" customFormat="1" ht="18" customHeight="1">
      <c r="A251">
        <v>245</v>
      </c>
      <c r="B251" t="s">
        <v>908</v>
      </c>
      <c r="C251" t="s">
        <v>2709</v>
      </c>
      <c r="D251" t="s">
        <v>2709</v>
      </c>
      <c r="F251" t="s">
        <v>2710</v>
      </c>
      <c r="G251">
        <v>2017</v>
      </c>
      <c r="H251" t="s">
        <v>1527</v>
      </c>
      <c r="I251" t="s">
        <v>1419</v>
      </c>
      <c r="J251" t="s">
        <v>1419</v>
      </c>
      <c r="K251" t="s">
        <v>1517</v>
      </c>
      <c r="L251" t="s">
        <v>1520</v>
      </c>
      <c r="O251">
        <v>710.9</v>
      </c>
      <c r="P251">
        <v>135.13</v>
      </c>
      <c r="Q251">
        <v>37</v>
      </c>
      <c r="R251" s="716">
        <v>720</v>
      </c>
      <c r="S251" s="716"/>
      <c r="U251">
        <v>599.20000000000005</v>
      </c>
      <c r="V251">
        <v>91.82</v>
      </c>
      <c r="W251">
        <v>30</v>
      </c>
      <c r="Y251">
        <v>0.97</v>
      </c>
      <c r="AA251">
        <v>1</v>
      </c>
      <c r="AB251">
        <v>0.82</v>
      </c>
      <c r="AD251">
        <v>1</v>
      </c>
      <c r="AK251">
        <v>1</v>
      </c>
      <c r="AL251" t="s">
        <v>48</v>
      </c>
      <c r="AM251" t="s">
        <v>32</v>
      </c>
      <c r="AN251" t="s">
        <v>41</v>
      </c>
    </row>
    <row r="252" spans="1:40" customFormat="1" ht="18" customHeight="1">
      <c r="A252">
        <v>246</v>
      </c>
      <c r="B252" t="s">
        <v>908</v>
      </c>
      <c r="C252" t="s">
        <v>2709</v>
      </c>
      <c r="D252" t="s">
        <v>2709</v>
      </c>
      <c r="F252" t="s">
        <v>2710</v>
      </c>
      <c r="G252">
        <v>2018</v>
      </c>
      <c r="H252" t="s">
        <v>2675</v>
      </c>
      <c r="I252" t="s">
        <v>1419</v>
      </c>
      <c r="J252" t="s">
        <v>1419</v>
      </c>
      <c r="K252" t="s">
        <v>65</v>
      </c>
      <c r="O252">
        <v>24.9</v>
      </c>
      <c r="P252">
        <v>21.9</v>
      </c>
      <c r="Q252">
        <v>22</v>
      </c>
      <c r="R252" s="716">
        <v>751</v>
      </c>
      <c r="S252" s="716"/>
      <c r="U252">
        <v>16</v>
      </c>
      <c r="V252">
        <v>7.8</v>
      </c>
      <c r="W252">
        <v>25</v>
      </c>
      <c r="X252">
        <v>25</v>
      </c>
      <c r="AA252">
        <v>1</v>
      </c>
      <c r="AB252">
        <v>-1.1200000000000001</v>
      </c>
      <c r="AC252">
        <v>1.26</v>
      </c>
      <c r="AD252">
        <v>1</v>
      </c>
      <c r="AL252">
        <v>1</v>
      </c>
      <c r="AM252" t="s">
        <v>48</v>
      </c>
      <c r="AN252" t="s">
        <v>32</v>
      </c>
    </row>
    <row r="253" spans="1:40" customFormat="1" ht="18" customHeight="1">
      <c r="A253">
        <v>247</v>
      </c>
      <c r="B253" t="s">
        <v>908</v>
      </c>
      <c r="C253" t="s">
        <v>2708</v>
      </c>
      <c r="D253" t="s">
        <v>2708</v>
      </c>
      <c r="F253" t="s">
        <v>2710</v>
      </c>
      <c r="G253">
        <v>2019</v>
      </c>
      <c r="H253" t="s">
        <v>2674</v>
      </c>
      <c r="I253" t="s">
        <v>961</v>
      </c>
      <c r="J253" t="s">
        <v>961</v>
      </c>
      <c r="K253" t="s">
        <v>2585</v>
      </c>
      <c r="O253">
        <v>1.4</v>
      </c>
      <c r="P253">
        <v>0.6</v>
      </c>
      <c r="Q253">
        <v>22</v>
      </c>
      <c r="R253" s="716">
        <v>751</v>
      </c>
      <c r="S253" s="716"/>
      <c r="U253">
        <v>1.3</v>
      </c>
      <c r="V253">
        <v>0.5</v>
      </c>
      <c r="W253">
        <v>25</v>
      </c>
      <c r="X253">
        <v>25</v>
      </c>
      <c r="Z253">
        <v>-0.18</v>
      </c>
      <c r="AA253">
        <v>1</v>
      </c>
      <c r="AB253">
        <v>-0.2</v>
      </c>
      <c r="AC253">
        <v>0.04</v>
      </c>
      <c r="AD253">
        <v>1</v>
      </c>
    </row>
    <row r="254" spans="1:40" customFormat="1" ht="18" customHeight="1">
      <c r="A254">
        <v>248</v>
      </c>
      <c r="B254" t="s">
        <v>1353</v>
      </c>
      <c r="C254" t="s">
        <v>2709</v>
      </c>
      <c r="D254" t="s">
        <v>2709</v>
      </c>
      <c r="F254" t="s">
        <v>1390</v>
      </c>
      <c r="G254">
        <v>2003</v>
      </c>
      <c r="H254" t="s">
        <v>1527</v>
      </c>
      <c r="I254" t="s">
        <v>1419</v>
      </c>
      <c r="K254" t="s">
        <v>2658</v>
      </c>
      <c r="O254">
        <v>44</v>
      </c>
      <c r="P254">
        <v>9.9</v>
      </c>
      <c r="Q254">
        <v>46</v>
      </c>
      <c r="R254" s="716">
        <v>490</v>
      </c>
      <c r="S254" s="716">
        <v>375</v>
      </c>
      <c r="U254">
        <v>52.3</v>
      </c>
      <c r="V254">
        <v>9.5</v>
      </c>
      <c r="W254">
        <v>18</v>
      </c>
      <c r="AA254">
        <v>-1</v>
      </c>
      <c r="AB254">
        <v>-0.86</v>
      </c>
      <c r="AD254">
        <v>1</v>
      </c>
      <c r="AF254">
        <v>10.75</v>
      </c>
      <c r="AG254">
        <v>2.1</v>
      </c>
      <c r="AI254">
        <v>13.1</v>
      </c>
      <c r="AJ254">
        <v>3.2</v>
      </c>
    </row>
    <row r="255" spans="1:40" customFormat="1" ht="18" customHeight="1">
      <c r="A255">
        <v>249</v>
      </c>
      <c r="B255" t="s">
        <v>1353</v>
      </c>
      <c r="C255" t="s">
        <v>2709</v>
      </c>
      <c r="D255" t="s">
        <v>2709</v>
      </c>
      <c r="F255" t="s">
        <v>2457</v>
      </c>
      <c r="G255">
        <v>1996</v>
      </c>
      <c r="H255" t="s">
        <v>1527</v>
      </c>
      <c r="I255" t="s">
        <v>1419</v>
      </c>
      <c r="K255" t="s">
        <v>2653</v>
      </c>
      <c r="O255">
        <v>83.5</v>
      </c>
      <c r="P255">
        <v>16.7</v>
      </c>
      <c r="Q255">
        <v>20</v>
      </c>
      <c r="R255" s="716">
        <v>582</v>
      </c>
      <c r="S255" s="716">
        <v>372</v>
      </c>
      <c r="U255">
        <v>62.1</v>
      </c>
      <c r="V255">
        <v>12.1</v>
      </c>
      <c r="W255">
        <v>20</v>
      </c>
      <c r="AA255">
        <v>1</v>
      </c>
      <c r="AB255">
        <v>3.68</v>
      </c>
      <c r="AD255">
        <v>0</v>
      </c>
    </row>
    <row r="256" spans="1:40" customFormat="1" ht="18" customHeight="1">
      <c r="A256">
        <v>250</v>
      </c>
      <c r="B256" t="s">
        <v>1353</v>
      </c>
      <c r="C256" t="s">
        <v>2709</v>
      </c>
      <c r="D256" t="s">
        <v>2709</v>
      </c>
      <c r="F256" t="s">
        <v>2457</v>
      </c>
      <c r="G256">
        <v>1999</v>
      </c>
      <c r="H256" t="s">
        <v>1527</v>
      </c>
      <c r="I256" t="s">
        <v>1419</v>
      </c>
      <c r="K256" t="s">
        <v>2656</v>
      </c>
      <c r="L256" t="s">
        <v>1497</v>
      </c>
      <c r="O256">
        <v>67.400000000000006</v>
      </c>
      <c r="P256">
        <v>11.2</v>
      </c>
      <c r="Q256">
        <v>20</v>
      </c>
      <c r="R256" s="716">
        <v>744</v>
      </c>
      <c r="S256" s="716">
        <v>456</v>
      </c>
      <c r="T256" t="s">
        <v>1498</v>
      </c>
      <c r="U256">
        <v>56.6</v>
      </c>
      <c r="V256">
        <v>8.1999999999999993</v>
      </c>
      <c r="W256">
        <v>20</v>
      </c>
      <c r="AA256">
        <v>1</v>
      </c>
      <c r="AB256">
        <v>-1.29</v>
      </c>
      <c r="AD256">
        <v>0</v>
      </c>
    </row>
    <row r="257" spans="1:40" customFormat="1" ht="18" customHeight="1">
      <c r="A257">
        <v>251</v>
      </c>
      <c r="B257" t="s">
        <v>1353</v>
      </c>
      <c r="C257" t="s">
        <v>2709</v>
      </c>
      <c r="D257" t="s">
        <v>2709</v>
      </c>
      <c r="F257" t="s">
        <v>1397</v>
      </c>
      <c r="G257">
        <v>2006</v>
      </c>
      <c r="H257" t="s">
        <v>1527</v>
      </c>
      <c r="I257" t="s">
        <v>1419</v>
      </c>
      <c r="J257" t="s">
        <v>1419</v>
      </c>
      <c r="K257" t="s">
        <v>206</v>
      </c>
      <c r="O257">
        <v>811</v>
      </c>
      <c r="P257">
        <v>173</v>
      </c>
      <c r="Q257">
        <v>26</v>
      </c>
      <c r="R257" s="716">
        <v>424</v>
      </c>
      <c r="S257" s="716">
        <v>339</v>
      </c>
      <c r="U257">
        <v>817</v>
      </c>
      <c r="V257">
        <v>207</v>
      </c>
      <c r="W257">
        <v>25</v>
      </c>
      <c r="AA257">
        <v>1</v>
      </c>
      <c r="AB257">
        <v>0.03</v>
      </c>
      <c r="AD257">
        <v>0</v>
      </c>
    </row>
    <row r="258" spans="1:40" customFormat="1" ht="18" customHeight="1">
      <c r="A258">
        <v>252</v>
      </c>
      <c r="B258" t="s">
        <v>1353</v>
      </c>
      <c r="C258" t="s">
        <v>2708</v>
      </c>
      <c r="D258" t="s">
        <v>2708</v>
      </c>
      <c r="F258" t="s">
        <v>1397</v>
      </c>
      <c r="G258">
        <v>2006</v>
      </c>
      <c r="H258" t="s">
        <v>2454</v>
      </c>
      <c r="I258" t="s">
        <v>961</v>
      </c>
      <c r="J258" t="s">
        <v>961</v>
      </c>
      <c r="K258" t="s">
        <v>1215</v>
      </c>
      <c r="O258">
        <v>1.1000000000000001</v>
      </c>
      <c r="P258">
        <v>2</v>
      </c>
      <c r="Q258">
        <v>26</v>
      </c>
      <c r="R258" s="716">
        <v>424</v>
      </c>
      <c r="S258" s="716">
        <v>339</v>
      </c>
      <c r="U258">
        <v>1</v>
      </c>
      <c r="V258">
        <v>1.6</v>
      </c>
      <c r="W258">
        <v>25</v>
      </c>
      <c r="AA258">
        <v>1</v>
      </c>
      <c r="AB258">
        <v>-0.06</v>
      </c>
      <c r="AD258">
        <v>0</v>
      </c>
    </row>
    <row r="259" spans="1:40" customFormat="1" ht="18" customHeight="1">
      <c r="A259">
        <v>253</v>
      </c>
      <c r="B259" t="s">
        <v>1353</v>
      </c>
      <c r="C259" t="s">
        <v>2709</v>
      </c>
      <c r="D259" t="s">
        <v>2709</v>
      </c>
      <c r="F259" t="s">
        <v>1393</v>
      </c>
      <c r="G259">
        <v>2005</v>
      </c>
      <c r="H259" t="s">
        <v>1527</v>
      </c>
      <c r="I259" t="s">
        <v>1419</v>
      </c>
      <c r="K259" t="s">
        <v>1514</v>
      </c>
      <c r="O259">
        <v>45</v>
      </c>
      <c r="P259">
        <v>8</v>
      </c>
      <c r="Q259">
        <v>26</v>
      </c>
      <c r="R259" s="716">
        <v>489</v>
      </c>
      <c r="S259" s="716">
        <v>181</v>
      </c>
      <c r="U259">
        <v>50</v>
      </c>
      <c r="V259">
        <v>6</v>
      </c>
      <c r="W259">
        <v>21</v>
      </c>
      <c r="AA259">
        <v>-1</v>
      </c>
      <c r="AB259">
        <v>-0.82</v>
      </c>
      <c r="AD259">
        <v>0</v>
      </c>
      <c r="AF259">
        <v>12.3</v>
      </c>
      <c r="AG259">
        <v>3.7</v>
      </c>
      <c r="AI259">
        <v>11.8</v>
      </c>
      <c r="AJ259">
        <v>3.6</v>
      </c>
    </row>
    <row r="260" spans="1:40" customFormat="1" ht="18" customHeight="1">
      <c r="A260">
        <v>254</v>
      </c>
      <c r="B260" t="s">
        <v>1353</v>
      </c>
      <c r="C260" t="s">
        <v>2709</v>
      </c>
      <c r="D260" t="s">
        <v>2709</v>
      </c>
      <c r="F260" t="s">
        <v>1393</v>
      </c>
      <c r="G260">
        <v>2005</v>
      </c>
      <c r="H260" t="s">
        <v>1527</v>
      </c>
      <c r="I260" t="s">
        <v>1419</v>
      </c>
      <c r="K260" t="s">
        <v>1494</v>
      </c>
      <c r="O260">
        <v>40</v>
      </c>
      <c r="P260">
        <v>9</v>
      </c>
      <c r="Q260">
        <v>26</v>
      </c>
      <c r="R260" s="716">
        <v>489</v>
      </c>
      <c r="S260" s="716">
        <v>181</v>
      </c>
      <c r="U260">
        <v>45</v>
      </c>
      <c r="V260">
        <v>6</v>
      </c>
      <c r="W260">
        <v>21</v>
      </c>
      <c r="AA260">
        <v>-1</v>
      </c>
      <c r="AB260">
        <v>-0.82</v>
      </c>
      <c r="AD260">
        <v>0</v>
      </c>
      <c r="AF260">
        <v>12.3</v>
      </c>
      <c r="AG260">
        <v>3.7</v>
      </c>
      <c r="AI260">
        <v>11.8</v>
      </c>
      <c r="AJ260">
        <v>3.6</v>
      </c>
    </row>
    <row r="261" spans="1:40" customFormat="1" ht="18" customHeight="1">
      <c r="A261">
        <v>255</v>
      </c>
      <c r="B261" t="s">
        <v>1353</v>
      </c>
      <c r="C261" t="s">
        <v>2709</v>
      </c>
      <c r="D261" t="s">
        <v>2709</v>
      </c>
      <c r="F261" t="s">
        <v>662</v>
      </c>
      <c r="G261">
        <v>2001</v>
      </c>
      <c r="H261" t="s">
        <v>1527</v>
      </c>
      <c r="I261" t="s">
        <v>1419</v>
      </c>
      <c r="K261" t="s">
        <v>1530</v>
      </c>
      <c r="M261" t="s">
        <v>633</v>
      </c>
      <c r="O261">
        <v>64.7</v>
      </c>
      <c r="P261">
        <v>19.809999999999999</v>
      </c>
      <c r="Q261">
        <v>23</v>
      </c>
      <c r="R261" s="716">
        <v>496</v>
      </c>
      <c r="S261" s="716">
        <v>230</v>
      </c>
      <c r="U261">
        <v>81</v>
      </c>
      <c r="V261">
        <v>22.62</v>
      </c>
      <c r="W261">
        <v>23</v>
      </c>
      <c r="AA261">
        <v>-1</v>
      </c>
      <c r="AB261">
        <v>-0.71</v>
      </c>
      <c r="AD261">
        <v>1</v>
      </c>
      <c r="AF261">
        <v>10.7</v>
      </c>
      <c r="AG261">
        <v>3.4</v>
      </c>
      <c r="AI261">
        <v>11.1</v>
      </c>
      <c r="AJ261">
        <v>3.7</v>
      </c>
    </row>
    <row r="262" spans="1:40" customFormat="1" ht="18" customHeight="1">
      <c r="A262">
        <v>256</v>
      </c>
      <c r="B262" t="s">
        <v>1353</v>
      </c>
      <c r="C262" t="s">
        <v>1547</v>
      </c>
      <c r="D262" t="s">
        <v>1547</v>
      </c>
      <c r="F262" t="s">
        <v>585</v>
      </c>
      <c r="G262">
        <v>2012</v>
      </c>
      <c r="H262" t="s">
        <v>2050</v>
      </c>
      <c r="K262" t="s">
        <v>2048</v>
      </c>
      <c r="O262">
        <v>565</v>
      </c>
      <c r="P262">
        <v>162</v>
      </c>
      <c r="Q262">
        <v>42</v>
      </c>
      <c r="R262" s="716">
        <v>546</v>
      </c>
      <c r="S262" s="716">
        <v>331</v>
      </c>
      <c r="U262">
        <v>479</v>
      </c>
      <c r="V262">
        <v>175</v>
      </c>
      <c r="W262">
        <v>81</v>
      </c>
      <c r="AA262">
        <v>1</v>
      </c>
      <c r="AB262">
        <v>-0.49</v>
      </c>
      <c r="AD262">
        <v>1</v>
      </c>
      <c r="AF262">
        <v>11.8</v>
      </c>
      <c r="AG262">
        <v>3.5</v>
      </c>
      <c r="AI262">
        <v>12.3</v>
      </c>
      <c r="AJ262">
        <v>3.2</v>
      </c>
    </row>
    <row r="263" spans="1:40" customFormat="1" ht="18" customHeight="1">
      <c r="A263">
        <v>257</v>
      </c>
      <c r="B263" t="s">
        <v>1353</v>
      </c>
      <c r="C263" t="s">
        <v>1547</v>
      </c>
      <c r="D263" t="s">
        <v>1547</v>
      </c>
      <c r="F263" t="s">
        <v>585</v>
      </c>
      <c r="G263">
        <v>2012</v>
      </c>
      <c r="H263" t="s">
        <v>2051</v>
      </c>
      <c r="O263">
        <v>199</v>
      </c>
      <c r="P263">
        <v>130</v>
      </c>
      <c r="Q263">
        <v>42</v>
      </c>
      <c r="R263" s="716">
        <v>546</v>
      </c>
      <c r="S263" s="716">
        <v>331</v>
      </c>
      <c r="U263">
        <v>155</v>
      </c>
      <c r="V263">
        <v>127</v>
      </c>
      <c r="W263">
        <v>81</v>
      </c>
      <c r="AA263">
        <v>1</v>
      </c>
      <c r="AB263">
        <v>-0.34</v>
      </c>
      <c r="AD263">
        <v>1</v>
      </c>
      <c r="AF263">
        <v>11.8</v>
      </c>
      <c r="AG263">
        <v>3.5</v>
      </c>
      <c r="AI263">
        <v>12.3</v>
      </c>
      <c r="AJ263">
        <v>3.2</v>
      </c>
    </row>
    <row r="264" spans="1:40" customFormat="1" ht="18" customHeight="1">
      <c r="A264">
        <v>258</v>
      </c>
      <c r="B264" t="s">
        <v>1353</v>
      </c>
      <c r="C264" t="s">
        <v>1547</v>
      </c>
      <c r="D264" t="s">
        <v>1547</v>
      </c>
      <c r="F264" t="s">
        <v>585</v>
      </c>
      <c r="G264">
        <v>2012</v>
      </c>
      <c r="H264" t="s">
        <v>2049</v>
      </c>
      <c r="K264" t="s">
        <v>1413</v>
      </c>
      <c r="O264">
        <v>642</v>
      </c>
      <c r="P264">
        <v>138</v>
      </c>
      <c r="Q264">
        <v>42</v>
      </c>
      <c r="R264" s="716">
        <v>546</v>
      </c>
      <c r="S264" s="716">
        <v>331</v>
      </c>
      <c r="U264">
        <v>587</v>
      </c>
      <c r="V264">
        <v>134</v>
      </c>
      <c r="W264">
        <v>81</v>
      </c>
      <c r="AA264">
        <v>1</v>
      </c>
      <c r="AB264">
        <v>-0.41</v>
      </c>
      <c r="AD264">
        <v>1</v>
      </c>
      <c r="AF264">
        <v>11.8</v>
      </c>
      <c r="AG264">
        <v>3.5</v>
      </c>
      <c r="AI264">
        <v>12.3</v>
      </c>
      <c r="AJ264">
        <v>3.2</v>
      </c>
    </row>
    <row r="265" spans="1:40" customFormat="1" ht="18" customHeight="1">
      <c r="A265">
        <v>259</v>
      </c>
      <c r="B265" t="s">
        <v>908</v>
      </c>
      <c r="C265" t="s">
        <v>2466</v>
      </c>
      <c r="D265" t="s">
        <v>2466</v>
      </c>
      <c r="F265" t="s">
        <v>2055</v>
      </c>
      <c r="G265">
        <v>2023</v>
      </c>
      <c r="H265" t="s">
        <v>1677</v>
      </c>
      <c r="K265" t="s">
        <v>1673</v>
      </c>
      <c r="L265" t="s">
        <v>1678</v>
      </c>
      <c r="M265" t="s">
        <v>1679</v>
      </c>
      <c r="N265" s="510" t="s">
        <v>2054</v>
      </c>
      <c r="O265">
        <v>48</v>
      </c>
      <c r="P265">
        <v>13</v>
      </c>
      <c r="Q265">
        <v>30</v>
      </c>
      <c r="R265" s="716">
        <v>741</v>
      </c>
      <c r="S265" s="716" t="s">
        <v>1619</v>
      </c>
      <c r="U265">
        <v>53</v>
      </c>
      <c r="V265">
        <v>13</v>
      </c>
      <c r="W265">
        <v>54</v>
      </c>
      <c r="X265" t="s">
        <v>1149</v>
      </c>
      <c r="Y265">
        <v>0.38</v>
      </c>
      <c r="AA265">
        <v>-1</v>
      </c>
      <c r="AB265">
        <v>-0.38</v>
      </c>
      <c r="AD265">
        <v>1</v>
      </c>
      <c r="AF265" t="s">
        <v>1149</v>
      </c>
    </row>
    <row r="266" spans="1:40" customFormat="1" ht="18" customHeight="1">
      <c r="A266">
        <v>260</v>
      </c>
      <c r="B266" t="s">
        <v>908</v>
      </c>
      <c r="C266" t="s">
        <v>2466</v>
      </c>
      <c r="D266" t="s">
        <v>2466</v>
      </c>
      <c r="F266" t="s">
        <v>2055</v>
      </c>
      <c r="G266">
        <v>2023</v>
      </c>
      <c r="H266" t="s">
        <v>1677</v>
      </c>
      <c r="K266" t="s">
        <v>1673</v>
      </c>
      <c r="L266" t="s">
        <v>1620</v>
      </c>
      <c r="M266" t="s">
        <v>1641</v>
      </c>
      <c r="N266" t="s">
        <v>1621</v>
      </c>
      <c r="O266">
        <v>-0.1</v>
      </c>
      <c r="P266">
        <v>1.9</v>
      </c>
      <c r="Q266">
        <v>30</v>
      </c>
      <c r="R266" s="716">
        <v>741</v>
      </c>
      <c r="S266" s="716" t="s">
        <v>1619</v>
      </c>
      <c r="U266">
        <v>-0.6</v>
      </c>
      <c r="V266">
        <v>2.1</v>
      </c>
      <c r="W266">
        <v>54</v>
      </c>
      <c r="X266" t="s">
        <v>1149</v>
      </c>
      <c r="Y266">
        <v>-0.27</v>
      </c>
      <c r="AA266">
        <v>1</v>
      </c>
      <c r="AB266">
        <v>-0.26</v>
      </c>
      <c r="AD266">
        <v>0</v>
      </c>
      <c r="AF266" t="s">
        <v>1149</v>
      </c>
    </row>
    <row r="267" spans="1:40" customFormat="1" ht="18" customHeight="1">
      <c r="A267">
        <v>261</v>
      </c>
      <c r="B267" t="s">
        <v>1353</v>
      </c>
      <c r="C267" t="s">
        <v>2466</v>
      </c>
      <c r="D267" t="s">
        <v>2466</v>
      </c>
      <c r="F267" t="s">
        <v>2461</v>
      </c>
      <c r="G267">
        <v>2008</v>
      </c>
      <c r="H267" t="s">
        <v>2497</v>
      </c>
      <c r="K267" t="s">
        <v>1157</v>
      </c>
      <c r="M267" t="s">
        <v>2141</v>
      </c>
      <c r="O267">
        <v>125.1</v>
      </c>
      <c r="P267">
        <v>38.488999999999997</v>
      </c>
      <c r="Q267">
        <v>33</v>
      </c>
      <c r="R267" s="716"/>
      <c r="S267" s="716"/>
      <c r="U267">
        <v>91.6</v>
      </c>
      <c r="V267">
        <v>38.484000000000002</v>
      </c>
      <c r="W267">
        <v>34</v>
      </c>
      <c r="AA267">
        <v>1</v>
      </c>
      <c r="AB267">
        <v>-0.86</v>
      </c>
      <c r="AD267">
        <v>1</v>
      </c>
      <c r="AF267">
        <v>11.18</v>
      </c>
      <c r="AG267">
        <v>3.4</v>
      </c>
      <c r="AI267">
        <v>10.3</v>
      </c>
      <c r="AJ267">
        <v>3.1</v>
      </c>
    </row>
    <row r="268" spans="1:40" customFormat="1" ht="18" customHeight="1">
      <c r="A268">
        <v>262</v>
      </c>
      <c r="B268" t="s">
        <v>908</v>
      </c>
      <c r="C268" t="s">
        <v>1022</v>
      </c>
      <c r="D268" t="s">
        <v>1022</v>
      </c>
      <c r="E268" t="s">
        <v>2566</v>
      </c>
      <c r="F268" t="s">
        <v>2710</v>
      </c>
      <c r="G268">
        <v>2017</v>
      </c>
      <c r="H268" t="s">
        <v>1706</v>
      </c>
      <c r="K268" t="s">
        <v>2607</v>
      </c>
      <c r="O268">
        <v>20.399999999999999</v>
      </c>
      <c r="P268">
        <v>23.7</v>
      </c>
      <c r="Q268">
        <v>37</v>
      </c>
      <c r="R268" s="716">
        <v>720</v>
      </c>
      <c r="S268" s="716"/>
      <c r="U268">
        <v>29.3</v>
      </c>
      <c r="V268">
        <v>24.5</v>
      </c>
      <c r="W268">
        <v>30</v>
      </c>
      <c r="Y268">
        <v>0.37</v>
      </c>
      <c r="AA268">
        <v>1</v>
      </c>
      <c r="AB268">
        <v>0.36</v>
      </c>
      <c r="AD268">
        <v>1</v>
      </c>
      <c r="AK268">
        <v>1</v>
      </c>
      <c r="AL268" t="s">
        <v>48</v>
      </c>
      <c r="AM268" t="s">
        <v>32</v>
      </c>
      <c r="AN268" t="s">
        <v>41</v>
      </c>
    </row>
    <row r="269" spans="1:40" customFormat="1" ht="18" customHeight="1">
      <c r="A269">
        <v>263</v>
      </c>
      <c r="B269" t="s">
        <v>908</v>
      </c>
      <c r="C269" t="s">
        <v>1022</v>
      </c>
      <c r="D269" t="s">
        <v>1022</v>
      </c>
      <c r="E269" t="s">
        <v>2566</v>
      </c>
      <c r="F269" t="s">
        <v>2710</v>
      </c>
      <c r="G269">
        <v>2017</v>
      </c>
      <c r="H269" t="s">
        <v>1706</v>
      </c>
      <c r="K269" t="s">
        <v>2608</v>
      </c>
      <c r="O269">
        <v>43.5</v>
      </c>
      <c r="P269">
        <v>22.9</v>
      </c>
      <c r="Q269">
        <v>37</v>
      </c>
      <c r="R269" s="716">
        <v>720</v>
      </c>
      <c r="S269" s="716"/>
      <c r="U269">
        <v>47</v>
      </c>
      <c r="V269">
        <v>14.9</v>
      </c>
      <c r="W269">
        <v>30</v>
      </c>
      <c r="Y269">
        <v>0.18</v>
      </c>
      <c r="AA269">
        <v>1</v>
      </c>
      <c r="AB269">
        <v>0.23</v>
      </c>
      <c r="AD269">
        <v>1</v>
      </c>
      <c r="AK269">
        <v>1</v>
      </c>
      <c r="AL269" t="s">
        <v>48</v>
      </c>
      <c r="AM269" t="s">
        <v>32</v>
      </c>
      <c r="AN269" t="s">
        <v>41</v>
      </c>
    </row>
    <row r="270" spans="1:40" customFormat="1" ht="18" customHeight="1">
      <c r="A270">
        <v>264</v>
      </c>
      <c r="B270" t="s">
        <v>908</v>
      </c>
      <c r="C270" t="s">
        <v>1022</v>
      </c>
      <c r="D270" t="s">
        <v>1022</v>
      </c>
      <c r="E270" t="s">
        <v>2566</v>
      </c>
      <c r="F270" t="s">
        <v>54</v>
      </c>
      <c r="G270">
        <v>2020</v>
      </c>
      <c r="H270" t="s">
        <v>1706</v>
      </c>
      <c r="K270" t="s">
        <v>2607</v>
      </c>
      <c r="O270">
        <v>10.199999999999999</v>
      </c>
      <c r="P270">
        <v>11</v>
      </c>
      <c r="Q270">
        <v>19</v>
      </c>
      <c r="R270" s="716">
        <v>1042</v>
      </c>
      <c r="S270" s="716"/>
      <c r="U270">
        <v>4.9000000000000004</v>
      </c>
      <c r="V270">
        <v>7</v>
      </c>
      <c r="W270">
        <v>19</v>
      </c>
      <c r="Y270">
        <v>-0.56999999999999995</v>
      </c>
      <c r="AA270">
        <v>1</v>
      </c>
      <c r="AB270">
        <v>-0.74</v>
      </c>
      <c r="AD270">
        <v>1</v>
      </c>
      <c r="AK270">
        <v>1</v>
      </c>
      <c r="AL270" t="s">
        <v>48</v>
      </c>
      <c r="AM270" t="s">
        <v>24</v>
      </c>
      <c r="AN270" t="s">
        <v>41</v>
      </c>
    </row>
    <row r="271" spans="1:40" customFormat="1" ht="18" customHeight="1">
      <c r="A271">
        <v>265</v>
      </c>
      <c r="B271" t="s">
        <v>908</v>
      </c>
      <c r="C271" t="s">
        <v>1022</v>
      </c>
      <c r="D271" t="s">
        <v>1022</v>
      </c>
      <c r="E271" t="s">
        <v>2566</v>
      </c>
      <c r="F271" t="s">
        <v>54</v>
      </c>
      <c r="G271">
        <v>2020</v>
      </c>
      <c r="H271" t="s">
        <v>1706</v>
      </c>
      <c r="K271" t="s">
        <v>2621</v>
      </c>
      <c r="O271">
        <v>20.8</v>
      </c>
      <c r="P271">
        <v>8.8000000000000007</v>
      </c>
      <c r="Q271">
        <v>19</v>
      </c>
      <c r="R271" s="716">
        <v>1042</v>
      </c>
      <c r="S271" s="716"/>
      <c r="U271">
        <v>19.7</v>
      </c>
      <c r="V271">
        <v>6.1</v>
      </c>
      <c r="W271">
        <v>19</v>
      </c>
      <c r="Y271">
        <v>-0.15</v>
      </c>
      <c r="AA271">
        <v>1</v>
      </c>
      <c r="AB271">
        <v>-0.18</v>
      </c>
      <c r="AD271">
        <v>1</v>
      </c>
      <c r="AK271">
        <v>1</v>
      </c>
      <c r="AL271" t="s">
        <v>48</v>
      </c>
      <c r="AM271" t="s">
        <v>24</v>
      </c>
      <c r="AN271" t="s">
        <v>41</v>
      </c>
    </row>
    <row r="272" spans="1:40" customFormat="1" ht="18" customHeight="1">
      <c r="A272">
        <v>266</v>
      </c>
      <c r="B272" t="s">
        <v>908</v>
      </c>
      <c r="C272" t="s">
        <v>1022</v>
      </c>
      <c r="D272" t="s">
        <v>1022</v>
      </c>
      <c r="E272" t="s">
        <v>2566</v>
      </c>
      <c r="F272" t="s">
        <v>51</v>
      </c>
      <c r="G272">
        <v>2021</v>
      </c>
      <c r="H272" t="s">
        <v>112</v>
      </c>
      <c r="O272">
        <v>13</v>
      </c>
      <c r="P272">
        <v>5.61</v>
      </c>
      <c r="Q272">
        <v>19</v>
      </c>
      <c r="R272" s="716">
        <v>890</v>
      </c>
      <c r="S272" s="716"/>
      <c r="U272">
        <v>20</v>
      </c>
      <c r="V272">
        <v>3.14</v>
      </c>
      <c r="W272">
        <v>25</v>
      </c>
      <c r="Y272">
        <v>1.54</v>
      </c>
      <c r="AA272">
        <v>-1</v>
      </c>
      <c r="AB272">
        <v>-2.19</v>
      </c>
      <c r="AD272">
        <v>1</v>
      </c>
    </row>
    <row r="273" spans="1:40" customFormat="1" ht="18" customHeight="1">
      <c r="A273">
        <v>267</v>
      </c>
      <c r="B273" t="s">
        <v>908</v>
      </c>
      <c r="C273" t="s">
        <v>1022</v>
      </c>
      <c r="D273" t="s">
        <v>1022</v>
      </c>
      <c r="E273" t="s">
        <v>2566</v>
      </c>
      <c r="F273" t="s">
        <v>2479</v>
      </c>
      <c r="G273">
        <v>1996</v>
      </c>
      <c r="H273" t="s">
        <v>2498</v>
      </c>
      <c r="K273" t="s">
        <v>113</v>
      </c>
      <c r="O273">
        <v>8.9</v>
      </c>
      <c r="P273">
        <v>4.01</v>
      </c>
      <c r="Q273">
        <v>11</v>
      </c>
      <c r="R273" s="716">
        <v>1545</v>
      </c>
      <c r="S273" s="716"/>
      <c r="U273">
        <v>12.7</v>
      </c>
      <c r="V273">
        <v>3.69</v>
      </c>
      <c r="W273">
        <v>22</v>
      </c>
      <c r="Y273">
        <v>0.99</v>
      </c>
      <c r="AA273">
        <v>-1</v>
      </c>
      <c r="AB273">
        <v>-1.01</v>
      </c>
      <c r="AD273">
        <v>1</v>
      </c>
      <c r="AK273" t="s">
        <v>23</v>
      </c>
      <c r="AL273" t="s">
        <v>23</v>
      </c>
      <c r="AM273" t="s">
        <v>24</v>
      </c>
      <c r="AN273" t="s">
        <v>23</v>
      </c>
    </row>
    <row r="274" spans="1:40" customFormat="1" ht="18" customHeight="1">
      <c r="A274">
        <v>268</v>
      </c>
      <c r="B274" t="s">
        <v>908</v>
      </c>
      <c r="C274" t="s">
        <v>1022</v>
      </c>
      <c r="D274" t="s">
        <v>1022</v>
      </c>
      <c r="E274" t="s">
        <v>2566</v>
      </c>
      <c r="F274" t="s">
        <v>2480</v>
      </c>
      <c r="G274">
        <v>1996</v>
      </c>
      <c r="H274" t="s">
        <v>2498</v>
      </c>
      <c r="K274" t="s">
        <v>113</v>
      </c>
      <c r="O274">
        <v>10.8</v>
      </c>
      <c r="P274">
        <v>4.0599999999999996</v>
      </c>
      <c r="Q274">
        <v>11</v>
      </c>
      <c r="R274" s="716">
        <v>566</v>
      </c>
      <c r="S274" s="716"/>
      <c r="U274">
        <v>12.7</v>
      </c>
      <c r="V274">
        <v>3.69</v>
      </c>
      <c r="W274">
        <v>22</v>
      </c>
      <c r="Y274">
        <v>0.49</v>
      </c>
      <c r="AA274">
        <v>-1</v>
      </c>
      <c r="AB274">
        <v>-0.5</v>
      </c>
      <c r="AD274">
        <v>1</v>
      </c>
      <c r="AK274" t="s">
        <v>23</v>
      </c>
      <c r="AL274" t="s">
        <v>23</v>
      </c>
      <c r="AM274" t="s">
        <v>24</v>
      </c>
      <c r="AN274" t="s">
        <v>23</v>
      </c>
    </row>
    <row r="275" spans="1:40" customFormat="1" ht="18" customHeight="1">
      <c r="A275">
        <v>269</v>
      </c>
      <c r="B275" t="s">
        <v>908</v>
      </c>
      <c r="C275" t="s">
        <v>1022</v>
      </c>
      <c r="D275" t="s">
        <v>1022</v>
      </c>
      <c r="E275" t="s">
        <v>2566</v>
      </c>
      <c r="F275" t="s">
        <v>2479</v>
      </c>
      <c r="G275">
        <v>1996</v>
      </c>
      <c r="H275" t="s">
        <v>2499</v>
      </c>
      <c r="K275" t="s">
        <v>113</v>
      </c>
      <c r="O275">
        <v>10.3</v>
      </c>
      <c r="P275">
        <v>4.9000000000000004</v>
      </c>
      <c r="Q275">
        <v>11</v>
      </c>
      <c r="R275" s="716">
        <v>1545</v>
      </c>
      <c r="S275" s="716"/>
      <c r="U275">
        <v>14</v>
      </c>
      <c r="V275">
        <v>3.59</v>
      </c>
      <c r="W275">
        <v>22</v>
      </c>
      <c r="Y275">
        <v>0.87</v>
      </c>
      <c r="AA275">
        <v>-1</v>
      </c>
      <c r="AB275">
        <v>-1.01</v>
      </c>
      <c r="AD275">
        <v>1</v>
      </c>
      <c r="AK275" t="s">
        <v>23</v>
      </c>
      <c r="AL275" t="s">
        <v>23</v>
      </c>
      <c r="AM275" t="s">
        <v>24</v>
      </c>
      <c r="AN275" t="s">
        <v>23</v>
      </c>
    </row>
    <row r="276" spans="1:40" customFormat="1" ht="18" customHeight="1">
      <c r="A276">
        <v>270</v>
      </c>
      <c r="B276" t="s">
        <v>908</v>
      </c>
      <c r="C276" t="s">
        <v>1022</v>
      </c>
      <c r="D276" t="s">
        <v>1022</v>
      </c>
      <c r="E276" t="s">
        <v>2566</v>
      </c>
      <c r="F276" t="s">
        <v>2480</v>
      </c>
      <c r="G276">
        <v>1996</v>
      </c>
      <c r="H276" t="s">
        <v>2499</v>
      </c>
      <c r="K276" t="s">
        <v>113</v>
      </c>
      <c r="O276">
        <v>12.4</v>
      </c>
      <c r="P276">
        <v>3.52</v>
      </c>
      <c r="Q276">
        <v>11</v>
      </c>
      <c r="R276" s="716">
        <v>566</v>
      </c>
      <c r="S276" s="716"/>
      <c r="U276">
        <v>14</v>
      </c>
      <c r="V276">
        <v>3.59</v>
      </c>
      <c r="W276">
        <v>22</v>
      </c>
      <c r="Y276">
        <v>0.47</v>
      </c>
      <c r="AA276">
        <v>-1</v>
      </c>
      <c r="AB276">
        <v>-0.45</v>
      </c>
      <c r="AD276">
        <v>1</v>
      </c>
      <c r="AK276" t="s">
        <v>23</v>
      </c>
      <c r="AL276" t="s">
        <v>23</v>
      </c>
      <c r="AM276" t="s">
        <v>24</v>
      </c>
      <c r="AN276" t="s">
        <v>23</v>
      </c>
    </row>
    <row r="277" spans="1:40" customFormat="1" ht="18" customHeight="1">
      <c r="A277">
        <v>271</v>
      </c>
      <c r="B277" t="s">
        <v>908</v>
      </c>
      <c r="C277" t="s">
        <v>1022</v>
      </c>
      <c r="D277" t="s">
        <v>1022</v>
      </c>
      <c r="E277" t="s">
        <v>2566</v>
      </c>
      <c r="F277" t="s">
        <v>37</v>
      </c>
      <c r="G277">
        <v>2007</v>
      </c>
      <c r="H277" t="s">
        <v>2500</v>
      </c>
      <c r="K277" t="s">
        <v>109</v>
      </c>
      <c r="O277">
        <v>108</v>
      </c>
      <c r="P277">
        <v>14.2</v>
      </c>
      <c r="Q277">
        <v>12</v>
      </c>
      <c r="R277" s="716" t="s">
        <v>24</v>
      </c>
      <c r="S277" s="716"/>
      <c r="U277">
        <v>109</v>
      </c>
      <c r="V277">
        <v>2.7</v>
      </c>
      <c r="W277">
        <v>12</v>
      </c>
      <c r="Y277">
        <v>0.1</v>
      </c>
      <c r="AA277">
        <v>-1</v>
      </c>
      <c r="AB277">
        <v>-0.36</v>
      </c>
      <c r="AD277">
        <v>1</v>
      </c>
      <c r="AK277">
        <v>1</v>
      </c>
      <c r="AL277" t="s">
        <v>39</v>
      </c>
      <c r="AM277" t="s">
        <v>110</v>
      </c>
      <c r="AN277" t="s">
        <v>41</v>
      </c>
    </row>
    <row r="278" spans="1:40" customFormat="1" ht="18" customHeight="1">
      <c r="A278">
        <v>272</v>
      </c>
      <c r="B278" t="s">
        <v>908</v>
      </c>
      <c r="C278" t="s">
        <v>1022</v>
      </c>
      <c r="D278" t="s">
        <v>1022</v>
      </c>
      <c r="E278" t="s">
        <v>2566</v>
      </c>
      <c r="F278" t="s">
        <v>37</v>
      </c>
      <c r="G278">
        <v>2007</v>
      </c>
      <c r="H278" t="s">
        <v>2501</v>
      </c>
      <c r="K278" t="s">
        <v>111</v>
      </c>
      <c r="O278">
        <v>99</v>
      </c>
      <c r="P278">
        <v>11.8</v>
      </c>
      <c r="Q278">
        <v>12</v>
      </c>
      <c r="R278" s="716" t="s">
        <v>24</v>
      </c>
      <c r="S278" s="716"/>
      <c r="U278">
        <v>100</v>
      </c>
      <c r="V278">
        <v>11.4</v>
      </c>
      <c r="W278">
        <v>12</v>
      </c>
      <c r="Y278">
        <v>0.09</v>
      </c>
      <c r="AA278">
        <v>-1</v>
      </c>
      <c r="AB278">
        <v>-0.08</v>
      </c>
      <c r="AD278">
        <v>1</v>
      </c>
      <c r="AK278">
        <v>1</v>
      </c>
      <c r="AL278" t="s">
        <v>39</v>
      </c>
      <c r="AM278" t="s">
        <v>110</v>
      </c>
      <c r="AN278" t="s">
        <v>41</v>
      </c>
    </row>
    <row r="279" spans="1:40" customFormat="1" ht="18" customHeight="1">
      <c r="A279">
        <v>273</v>
      </c>
      <c r="B279" t="s">
        <v>908</v>
      </c>
      <c r="C279" t="s">
        <v>1022</v>
      </c>
      <c r="D279" t="s">
        <v>1022</v>
      </c>
      <c r="E279" t="s">
        <v>2566</v>
      </c>
      <c r="F279" t="s">
        <v>21</v>
      </c>
      <c r="G279">
        <v>2021</v>
      </c>
      <c r="H279" t="s">
        <v>1581</v>
      </c>
      <c r="K279" t="s">
        <v>2455</v>
      </c>
      <c r="O279">
        <v>0</v>
      </c>
      <c r="P279">
        <v>1.22</v>
      </c>
      <c r="Q279">
        <v>152</v>
      </c>
      <c r="R279" s="716">
        <v>908</v>
      </c>
      <c r="S279" s="716"/>
      <c r="U279">
        <v>0</v>
      </c>
      <c r="V279">
        <v>1</v>
      </c>
      <c r="W279">
        <v>76</v>
      </c>
      <c r="Y279" t="s">
        <v>23</v>
      </c>
      <c r="AA279">
        <v>-1</v>
      </c>
      <c r="AB279">
        <v>-0.02</v>
      </c>
      <c r="AC279">
        <v>1.22</v>
      </c>
      <c r="AD279">
        <v>1</v>
      </c>
      <c r="AK279">
        <v>1</v>
      </c>
      <c r="AM279" t="s">
        <v>24</v>
      </c>
    </row>
    <row r="280" spans="1:40" customFormat="1" ht="18" customHeight="1">
      <c r="A280">
        <v>274</v>
      </c>
      <c r="B280" t="s">
        <v>908</v>
      </c>
      <c r="C280" t="s">
        <v>1022</v>
      </c>
      <c r="D280" t="s">
        <v>1022</v>
      </c>
      <c r="E280" t="s">
        <v>2566</v>
      </c>
      <c r="F280" t="s">
        <v>29</v>
      </c>
      <c r="G280">
        <v>2004</v>
      </c>
      <c r="H280" t="s">
        <v>1581</v>
      </c>
      <c r="K280" t="s">
        <v>107</v>
      </c>
      <c r="O280">
        <v>75.8</v>
      </c>
      <c r="P280">
        <v>19.5</v>
      </c>
      <c r="Q280">
        <v>20</v>
      </c>
      <c r="R280" s="716">
        <v>859</v>
      </c>
      <c r="S280" s="716"/>
      <c r="U280">
        <v>80.7</v>
      </c>
      <c r="V280">
        <v>19.21</v>
      </c>
      <c r="W280">
        <v>20</v>
      </c>
      <c r="Y280">
        <v>0.25</v>
      </c>
      <c r="AA280">
        <v>-1</v>
      </c>
      <c r="AB280">
        <v>-0.25</v>
      </c>
      <c r="AD280">
        <v>1</v>
      </c>
      <c r="AK280">
        <v>2</v>
      </c>
      <c r="AL280" t="s">
        <v>31</v>
      </c>
      <c r="AM280" t="s">
        <v>32</v>
      </c>
      <c r="AN280" t="s">
        <v>31</v>
      </c>
    </row>
    <row r="281" spans="1:40" customFormat="1" ht="18" customHeight="1">
      <c r="A281">
        <v>275</v>
      </c>
      <c r="B281" t="s">
        <v>908</v>
      </c>
      <c r="C281" t="s">
        <v>1022</v>
      </c>
      <c r="D281" t="s">
        <v>1022</v>
      </c>
      <c r="E281" t="s">
        <v>2566</v>
      </c>
      <c r="F281" t="s">
        <v>29</v>
      </c>
      <c r="G281">
        <v>2004</v>
      </c>
      <c r="H281" t="s">
        <v>1581</v>
      </c>
      <c r="K281" t="s">
        <v>108</v>
      </c>
      <c r="O281">
        <v>69</v>
      </c>
      <c r="P281">
        <v>14.63</v>
      </c>
      <c r="Q281">
        <v>20</v>
      </c>
      <c r="R281" s="716">
        <v>859</v>
      </c>
      <c r="S281" s="716"/>
      <c r="U281">
        <v>66.5</v>
      </c>
      <c r="V281">
        <v>13.4</v>
      </c>
      <c r="W281">
        <v>20</v>
      </c>
      <c r="Y281">
        <v>-0.18</v>
      </c>
      <c r="AA281">
        <v>-1</v>
      </c>
      <c r="AB281">
        <v>0.18</v>
      </c>
      <c r="AD281">
        <v>1</v>
      </c>
      <c r="AK281">
        <v>2</v>
      </c>
      <c r="AL281" t="s">
        <v>31</v>
      </c>
      <c r="AM281" t="s">
        <v>32</v>
      </c>
      <c r="AN281" t="s">
        <v>31</v>
      </c>
    </row>
    <row r="282" spans="1:40" customFormat="1" ht="18" customHeight="1">
      <c r="A282">
        <v>276</v>
      </c>
      <c r="B282" t="s">
        <v>908</v>
      </c>
      <c r="C282" t="s">
        <v>1022</v>
      </c>
      <c r="D282" t="s">
        <v>1022</v>
      </c>
      <c r="E282" t="s">
        <v>2566</v>
      </c>
      <c r="F282" t="s">
        <v>2710</v>
      </c>
      <c r="G282">
        <v>2017</v>
      </c>
      <c r="H282" t="s">
        <v>1581</v>
      </c>
      <c r="K282" t="s">
        <v>2616</v>
      </c>
      <c r="O282">
        <v>16.3</v>
      </c>
      <c r="P282">
        <v>15.9</v>
      </c>
      <c r="Q282">
        <v>37</v>
      </c>
      <c r="R282" s="716">
        <v>720</v>
      </c>
      <c r="S282" s="716"/>
      <c r="U282">
        <v>15.1</v>
      </c>
      <c r="V282">
        <v>15.1</v>
      </c>
      <c r="W282">
        <v>30</v>
      </c>
      <c r="Y282">
        <v>-0.08</v>
      </c>
      <c r="AA282">
        <v>1</v>
      </c>
      <c r="AB282">
        <v>-0.08</v>
      </c>
      <c r="AD282">
        <v>1</v>
      </c>
      <c r="AK282">
        <v>1</v>
      </c>
      <c r="AL282" t="s">
        <v>48</v>
      </c>
      <c r="AM282" t="s">
        <v>32</v>
      </c>
      <c r="AN282" t="s">
        <v>41</v>
      </c>
    </row>
    <row r="283" spans="1:40" customFormat="1" ht="18" customHeight="1">
      <c r="A283">
        <v>277</v>
      </c>
      <c r="B283" t="s">
        <v>908</v>
      </c>
      <c r="C283" t="s">
        <v>1022</v>
      </c>
      <c r="D283" t="s">
        <v>1022</v>
      </c>
      <c r="E283" t="s">
        <v>2566</v>
      </c>
      <c r="F283" t="s">
        <v>2710</v>
      </c>
      <c r="G283">
        <v>2017</v>
      </c>
      <c r="H283" t="s">
        <v>1581</v>
      </c>
      <c r="K283" t="s">
        <v>2617</v>
      </c>
      <c r="O283">
        <v>24.1</v>
      </c>
      <c r="P283">
        <v>11.2</v>
      </c>
      <c r="Q283">
        <v>37</v>
      </c>
      <c r="R283" s="716">
        <v>720</v>
      </c>
      <c r="S283" s="716"/>
      <c r="U283">
        <v>20.5</v>
      </c>
      <c r="V283">
        <v>8.4</v>
      </c>
      <c r="W283">
        <v>30</v>
      </c>
      <c r="Y283">
        <v>-0.36</v>
      </c>
      <c r="AA283">
        <v>1</v>
      </c>
      <c r="AB283">
        <v>-0.42</v>
      </c>
      <c r="AD283">
        <v>1</v>
      </c>
      <c r="AK283">
        <v>1</v>
      </c>
      <c r="AL283" t="s">
        <v>48</v>
      </c>
      <c r="AM283" t="s">
        <v>32</v>
      </c>
      <c r="AN283" t="s">
        <v>41</v>
      </c>
    </row>
    <row r="284" spans="1:40" customFormat="1" ht="18" customHeight="1">
      <c r="A284">
        <v>278</v>
      </c>
      <c r="B284" t="s">
        <v>1353</v>
      </c>
      <c r="C284" t="s">
        <v>1022</v>
      </c>
      <c r="D284" t="s">
        <v>1022</v>
      </c>
      <c r="E284" t="s">
        <v>2566</v>
      </c>
      <c r="F284" t="s">
        <v>2461</v>
      </c>
      <c r="G284">
        <v>2008</v>
      </c>
      <c r="H284" t="s">
        <v>1581</v>
      </c>
      <c r="K284" t="s">
        <v>1578</v>
      </c>
      <c r="O284">
        <v>41.5</v>
      </c>
      <c r="P284">
        <v>8.6170000000000009</v>
      </c>
      <c r="Q284">
        <v>33</v>
      </c>
      <c r="R284" s="716"/>
      <c r="S284" s="716"/>
      <c r="U284">
        <v>48</v>
      </c>
      <c r="V284">
        <v>8.7460000000000004</v>
      </c>
      <c r="W284">
        <v>34</v>
      </c>
      <c r="AA284">
        <v>-1</v>
      </c>
      <c r="AB284">
        <v>-0.74</v>
      </c>
      <c r="AD284">
        <v>1</v>
      </c>
      <c r="AF284">
        <v>11.18</v>
      </c>
      <c r="AG284">
        <v>3.4</v>
      </c>
      <c r="AI284">
        <v>10.3</v>
      </c>
      <c r="AJ284">
        <v>3.1</v>
      </c>
    </row>
    <row r="285" spans="1:40" customFormat="1" ht="18" customHeight="1">
      <c r="A285">
        <v>279</v>
      </c>
      <c r="B285" t="s">
        <v>1353</v>
      </c>
      <c r="C285" t="s">
        <v>1022</v>
      </c>
      <c r="D285" t="s">
        <v>1022</v>
      </c>
      <c r="E285" t="s">
        <v>2566</v>
      </c>
      <c r="F285" t="s">
        <v>2461</v>
      </c>
      <c r="G285">
        <v>2008</v>
      </c>
      <c r="H285" t="s">
        <v>1581</v>
      </c>
      <c r="K285" t="s">
        <v>1160</v>
      </c>
      <c r="O285">
        <v>28.3</v>
      </c>
      <c r="P285">
        <v>8.6170000000000009</v>
      </c>
      <c r="Q285">
        <v>33</v>
      </c>
      <c r="R285" s="716"/>
      <c r="S285" s="716"/>
      <c r="U285">
        <v>34.1</v>
      </c>
      <c r="V285">
        <v>8.7460000000000004</v>
      </c>
      <c r="W285">
        <v>34</v>
      </c>
      <c r="AA285">
        <v>-1</v>
      </c>
      <c r="AB285">
        <v>-0.66</v>
      </c>
      <c r="AD285">
        <v>1</v>
      </c>
      <c r="AF285">
        <v>11.18</v>
      </c>
      <c r="AG285">
        <v>3.4</v>
      </c>
      <c r="AI285">
        <v>10.3</v>
      </c>
      <c r="AJ285">
        <v>3.1</v>
      </c>
    </row>
    <row r="286" spans="1:40" customFormat="1" ht="18" customHeight="1">
      <c r="A286">
        <v>280</v>
      </c>
      <c r="B286" t="s">
        <v>1353</v>
      </c>
      <c r="C286" t="s">
        <v>1022</v>
      </c>
      <c r="D286" t="s">
        <v>1022</v>
      </c>
      <c r="E286" t="s">
        <v>2566</v>
      </c>
      <c r="F286" t="s">
        <v>2124</v>
      </c>
      <c r="G286">
        <v>1995</v>
      </c>
      <c r="H286" t="s">
        <v>1581</v>
      </c>
      <c r="K286" t="s">
        <v>2132</v>
      </c>
      <c r="O286">
        <v>42.4</v>
      </c>
      <c r="P286">
        <v>10.09</v>
      </c>
      <c r="Q286">
        <v>10</v>
      </c>
      <c r="R286" s="716">
        <v>348</v>
      </c>
      <c r="S286" s="716"/>
      <c r="U286">
        <v>43</v>
      </c>
      <c r="V286">
        <v>7.65</v>
      </c>
      <c r="W286">
        <v>10</v>
      </c>
      <c r="AA286">
        <v>-1</v>
      </c>
      <c r="AB286">
        <v>-0.08</v>
      </c>
      <c r="AD286">
        <v>1</v>
      </c>
      <c r="AF286">
        <v>7.53</v>
      </c>
      <c r="AG286" t="s">
        <v>24</v>
      </c>
      <c r="AI286">
        <v>7.59</v>
      </c>
      <c r="AJ286" t="s">
        <v>24</v>
      </c>
      <c r="AL286" t="s">
        <v>2075</v>
      </c>
    </row>
    <row r="287" spans="1:40" customFormat="1" ht="18" customHeight="1">
      <c r="A287">
        <v>281</v>
      </c>
      <c r="B287" t="s">
        <v>1553</v>
      </c>
      <c r="C287" t="s">
        <v>1022</v>
      </c>
      <c r="D287" t="s">
        <v>1022</v>
      </c>
      <c r="E287" t="s">
        <v>2566</v>
      </c>
      <c r="F287" t="s">
        <v>2124</v>
      </c>
      <c r="G287">
        <v>1995</v>
      </c>
      <c r="H287" t="s">
        <v>1581</v>
      </c>
      <c r="K287" t="s">
        <v>2132</v>
      </c>
      <c r="O287">
        <v>46.7</v>
      </c>
      <c r="P287">
        <v>8.08</v>
      </c>
      <c r="Q287">
        <v>10</v>
      </c>
      <c r="R287" s="716">
        <v>1014</v>
      </c>
      <c r="S287" s="716">
        <v>216</v>
      </c>
      <c r="U287">
        <v>55.1</v>
      </c>
      <c r="V287">
        <v>7.4</v>
      </c>
      <c r="W287">
        <v>10</v>
      </c>
      <c r="AA287">
        <v>-1</v>
      </c>
      <c r="AB287">
        <v>-1.0900000000000001</v>
      </c>
      <c r="AD287">
        <v>1</v>
      </c>
      <c r="AF287">
        <v>20.6</v>
      </c>
      <c r="AG287">
        <v>3.8</v>
      </c>
      <c r="AH287" t="s">
        <v>2147</v>
      </c>
    </row>
    <row r="288" spans="1:40" customFormat="1" ht="18" customHeight="1">
      <c r="A288">
        <v>282</v>
      </c>
      <c r="B288" t="s">
        <v>1353</v>
      </c>
      <c r="C288" t="s">
        <v>1022</v>
      </c>
      <c r="D288" t="s">
        <v>1022</v>
      </c>
      <c r="E288" t="s">
        <v>2566</v>
      </c>
      <c r="F288" t="s">
        <v>1390</v>
      </c>
      <c r="G288">
        <v>2003</v>
      </c>
      <c r="H288" t="s">
        <v>1581</v>
      </c>
      <c r="K288" t="s">
        <v>1565</v>
      </c>
      <c r="O288">
        <v>40.299999999999997</v>
      </c>
      <c r="P288">
        <v>9.1999999999999993</v>
      </c>
      <c r="Q288">
        <v>46</v>
      </c>
      <c r="R288" s="716">
        <v>490</v>
      </c>
      <c r="S288" s="716">
        <v>375</v>
      </c>
      <c r="U288">
        <v>49.6</v>
      </c>
      <c r="V288">
        <v>11.1</v>
      </c>
      <c r="W288">
        <v>18</v>
      </c>
      <c r="AA288">
        <v>-1</v>
      </c>
      <c r="AB288">
        <v>-0.83</v>
      </c>
      <c r="AD288">
        <v>1</v>
      </c>
      <c r="AF288">
        <v>10.75</v>
      </c>
      <c r="AG288">
        <v>2.1</v>
      </c>
      <c r="AI288">
        <v>13.1</v>
      </c>
      <c r="AJ288">
        <v>3.2</v>
      </c>
    </row>
    <row r="289" spans="1:36" customFormat="1" ht="18" customHeight="1">
      <c r="A289">
        <v>283</v>
      </c>
      <c r="B289" t="s">
        <v>1353</v>
      </c>
      <c r="C289" t="s">
        <v>1022</v>
      </c>
      <c r="D289" t="s">
        <v>1022</v>
      </c>
      <c r="E289" t="s">
        <v>2566</v>
      </c>
      <c r="F289" t="s">
        <v>1392</v>
      </c>
      <c r="G289">
        <v>2018</v>
      </c>
      <c r="H289" t="s">
        <v>1581</v>
      </c>
      <c r="K289" t="s">
        <v>1576</v>
      </c>
      <c r="O289">
        <v>-0.8</v>
      </c>
      <c r="P289">
        <v>0.8</v>
      </c>
      <c r="Q289">
        <v>11</v>
      </c>
      <c r="R289" s="716">
        <v>743</v>
      </c>
      <c r="S289" s="716">
        <v>84</v>
      </c>
      <c r="U289">
        <v>0.6</v>
      </c>
      <c r="V289">
        <v>0.67</v>
      </c>
      <c r="W289">
        <v>28</v>
      </c>
      <c r="AA289">
        <v>-1</v>
      </c>
      <c r="AB289">
        <v>-0.77</v>
      </c>
      <c r="AD289">
        <v>1</v>
      </c>
      <c r="AF289">
        <v>13</v>
      </c>
      <c r="AG289">
        <v>2.5</v>
      </c>
      <c r="AI289">
        <v>11.8</v>
      </c>
      <c r="AJ289">
        <v>2.5</v>
      </c>
    </row>
    <row r="290" spans="1:36" customFormat="1" ht="18" customHeight="1">
      <c r="A290">
        <v>284</v>
      </c>
      <c r="B290" t="s">
        <v>1353</v>
      </c>
      <c r="C290" t="s">
        <v>1022</v>
      </c>
      <c r="D290" t="s">
        <v>1022</v>
      </c>
      <c r="E290" t="s">
        <v>2566</v>
      </c>
      <c r="F290" t="s">
        <v>1392</v>
      </c>
      <c r="G290">
        <v>2018</v>
      </c>
      <c r="H290" t="s">
        <v>1581</v>
      </c>
      <c r="K290" t="s">
        <v>1577</v>
      </c>
      <c r="O290">
        <v>-0.9</v>
      </c>
      <c r="P290">
        <v>1</v>
      </c>
      <c r="Q290">
        <v>11</v>
      </c>
      <c r="R290" s="716">
        <v>743</v>
      </c>
      <c r="S290" s="716">
        <v>84</v>
      </c>
      <c r="U290">
        <v>0</v>
      </c>
      <c r="V290">
        <v>0.77</v>
      </c>
      <c r="W290">
        <v>28</v>
      </c>
      <c r="AA290">
        <v>-1</v>
      </c>
      <c r="AB290">
        <v>-0.88</v>
      </c>
      <c r="AD290">
        <v>1</v>
      </c>
      <c r="AF290">
        <v>13</v>
      </c>
      <c r="AG290">
        <v>2.5</v>
      </c>
      <c r="AI290">
        <v>11.8</v>
      </c>
      <c r="AJ290">
        <v>2.5</v>
      </c>
    </row>
    <row r="291" spans="1:36" customFormat="1" ht="18" customHeight="1">
      <c r="A291">
        <v>285</v>
      </c>
      <c r="B291" t="s">
        <v>1353</v>
      </c>
      <c r="C291" t="s">
        <v>1022</v>
      </c>
      <c r="D291" t="s">
        <v>1022</v>
      </c>
      <c r="E291" t="s">
        <v>2566</v>
      </c>
      <c r="F291" t="s">
        <v>1395</v>
      </c>
      <c r="G291">
        <v>1999</v>
      </c>
      <c r="H291" t="s">
        <v>1581</v>
      </c>
      <c r="K291" t="s">
        <v>1579</v>
      </c>
      <c r="O291">
        <v>16.7</v>
      </c>
      <c r="P291">
        <v>3.98</v>
      </c>
      <c r="Q291">
        <v>19</v>
      </c>
      <c r="R291" s="716">
        <v>777</v>
      </c>
      <c r="S291" s="716">
        <v>200</v>
      </c>
      <c r="U291">
        <v>20.7</v>
      </c>
      <c r="V291">
        <v>3.65</v>
      </c>
      <c r="W291">
        <v>19</v>
      </c>
      <c r="AA291">
        <v>-1</v>
      </c>
      <c r="AB291">
        <v>-1.07</v>
      </c>
      <c r="AD291">
        <v>1</v>
      </c>
      <c r="AF291">
        <v>9.4</v>
      </c>
      <c r="AG291">
        <v>2.9</v>
      </c>
      <c r="AI291">
        <v>9.3000000000000007</v>
      </c>
      <c r="AJ291">
        <v>2.9</v>
      </c>
    </row>
    <row r="292" spans="1:36" customFormat="1" ht="18" customHeight="1">
      <c r="A292">
        <v>286</v>
      </c>
      <c r="B292" t="s">
        <v>1353</v>
      </c>
      <c r="C292" t="s">
        <v>1022</v>
      </c>
      <c r="D292" t="s">
        <v>1022</v>
      </c>
      <c r="E292" t="s">
        <v>2566</v>
      </c>
      <c r="F292" t="s">
        <v>1395</v>
      </c>
      <c r="G292">
        <v>2000</v>
      </c>
      <c r="H292" t="s">
        <v>1581</v>
      </c>
      <c r="K292" t="s">
        <v>1580</v>
      </c>
      <c r="L292" t="s">
        <v>1278</v>
      </c>
      <c r="O292">
        <v>4.9000000000000004</v>
      </c>
      <c r="P292">
        <v>2.5099999999999998</v>
      </c>
      <c r="Q292">
        <v>19</v>
      </c>
      <c r="R292" s="716">
        <v>777</v>
      </c>
      <c r="S292" s="716">
        <v>200</v>
      </c>
      <c r="U292">
        <v>6.1</v>
      </c>
      <c r="V292">
        <v>2.48</v>
      </c>
      <c r="W292">
        <v>19</v>
      </c>
      <c r="AA292">
        <v>-1</v>
      </c>
      <c r="AB292">
        <v>-0.45</v>
      </c>
      <c r="AD292">
        <v>1</v>
      </c>
      <c r="AF292">
        <v>9.4</v>
      </c>
      <c r="AG292">
        <v>2.9</v>
      </c>
      <c r="AI292">
        <v>9.3000000000000007</v>
      </c>
      <c r="AJ292">
        <v>2.9</v>
      </c>
    </row>
    <row r="293" spans="1:36" customFormat="1" ht="18" customHeight="1">
      <c r="A293">
        <v>287</v>
      </c>
      <c r="R293" s="716"/>
      <c r="S293" s="716"/>
    </row>
    <row r="294" spans="1:36" customFormat="1" ht="18" customHeight="1">
      <c r="A294">
        <v>288</v>
      </c>
      <c r="B294" t="s">
        <v>1353</v>
      </c>
      <c r="C294" t="s">
        <v>1022</v>
      </c>
      <c r="D294" t="s">
        <v>1022</v>
      </c>
      <c r="E294" t="s">
        <v>2566</v>
      </c>
      <c r="F294" t="s">
        <v>1390</v>
      </c>
      <c r="G294">
        <v>2003</v>
      </c>
      <c r="H294" t="s">
        <v>1581</v>
      </c>
      <c r="K294" t="s">
        <v>1572</v>
      </c>
      <c r="O294">
        <v>39.9</v>
      </c>
      <c r="P294">
        <v>7.4</v>
      </c>
      <c r="Q294">
        <v>46</v>
      </c>
      <c r="R294" s="716">
        <v>490</v>
      </c>
      <c r="S294" s="716">
        <v>375</v>
      </c>
      <c r="U294">
        <v>51.4</v>
      </c>
      <c r="V294">
        <v>10.4</v>
      </c>
      <c r="W294">
        <v>18</v>
      </c>
      <c r="AA294">
        <v>-1</v>
      </c>
      <c r="AB294">
        <v>-1.0900000000000001</v>
      </c>
      <c r="AD294">
        <v>0</v>
      </c>
      <c r="AF294">
        <v>10.75</v>
      </c>
      <c r="AG294">
        <v>2.1</v>
      </c>
      <c r="AI294">
        <v>13.1</v>
      </c>
      <c r="AJ294">
        <v>3.2</v>
      </c>
    </row>
    <row r="295" spans="1:36" customFormat="1" ht="18" customHeight="1">
      <c r="A295">
        <v>289</v>
      </c>
      <c r="B295" t="s">
        <v>1353</v>
      </c>
      <c r="C295" t="s">
        <v>1022</v>
      </c>
      <c r="D295" t="s">
        <v>1022</v>
      </c>
      <c r="E295" t="s">
        <v>2566</v>
      </c>
      <c r="F295" t="s">
        <v>1393</v>
      </c>
      <c r="G295">
        <v>2005</v>
      </c>
      <c r="H295" t="s">
        <v>1581</v>
      </c>
      <c r="K295" t="s">
        <v>1570</v>
      </c>
      <c r="O295">
        <v>57</v>
      </c>
      <c r="P295">
        <v>9</v>
      </c>
      <c r="Q295">
        <v>26</v>
      </c>
      <c r="R295" s="716">
        <v>489</v>
      </c>
      <c r="S295" s="716">
        <v>181</v>
      </c>
      <c r="U295">
        <v>60</v>
      </c>
      <c r="V295">
        <v>11</v>
      </c>
      <c r="W295">
        <v>21</v>
      </c>
      <c r="AA295">
        <v>-1</v>
      </c>
      <c r="AB295">
        <v>-0.27</v>
      </c>
      <c r="AD295">
        <v>1</v>
      </c>
      <c r="AF295">
        <v>12.3</v>
      </c>
      <c r="AG295">
        <v>3.7</v>
      </c>
      <c r="AI295">
        <v>11.8</v>
      </c>
      <c r="AJ295">
        <v>3.6</v>
      </c>
    </row>
    <row r="296" spans="1:36" customFormat="1" ht="18" customHeight="1">
      <c r="A296">
        <v>290</v>
      </c>
      <c r="B296" t="s">
        <v>1353</v>
      </c>
      <c r="C296" t="s">
        <v>1022</v>
      </c>
      <c r="D296" t="s">
        <v>1022</v>
      </c>
      <c r="E296" t="s">
        <v>2566</v>
      </c>
      <c r="F296" t="s">
        <v>1393</v>
      </c>
      <c r="G296">
        <v>2005</v>
      </c>
      <c r="H296" t="s">
        <v>1581</v>
      </c>
      <c r="K296" t="s">
        <v>1314</v>
      </c>
      <c r="O296">
        <v>61</v>
      </c>
      <c r="P296">
        <v>10</v>
      </c>
      <c r="Q296">
        <v>26</v>
      </c>
      <c r="R296" s="716">
        <v>489</v>
      </c>
      <c r="S296" s="716">
        <v>181</v>
      </c>
      <c r="U296">
        <v>62</v>
      </c>
      <c r="V296">
        <v>8</v>
      </c>
      <c r="W296">
        <v>21</v>
      </c>
      <c r="AA296">
        <v>-1</v>
      </c>
      <c r="AB296">
        <v>-0.12</v>
      </c>
      <c r="AD296">
        <v>1</v>
      </c>
      <c r="AF296">
        <v>12.3</v>
      </c>
      <c r="AG296">
        <v>3.7</v>
      </c>
      <c r="AI296">
        <v>11.8</v>
      </c>
      <c r="AJ296">
        <v>3.6</v>
      </c>
    </row>
    <row r="297" spans="1:36" customFormat="1" ht="18" customHeight="1">
      <c r="A297">
        <v>291</v>
      </c>
      <c r="B297" t="s">
        <v>1353</v>
      </c>
      <c r="C297" t="s">
        <v>1022</v>
      </c>
      <c r="D297" t="s">
        <v>1022</v>
      </c>
      <c r="E297" t="s">
        <v>2566</v>
      </c>
      <c r="F297" t="s">
        <v>662</v>
      </c>
      <c r="G297">
        <v>2001</v>
      </c>
      <c r="H297" t="s">
        <v>1581</v>
      </c>
      <c r="K297" t="s">
        <v>1573</v>
      </c>
      <c r="O297">
        <v>6.5</v>
      </c>
      <c r="P297">
        <v>2</v>
      </c>
      <c r="Q297">
        <v>23</v>
      </c>
      <c r="R297" s="716">
        <v>496</v>
      </c>
      <c r="S297" s="716">
        <v>230</v>
      </c>
      <c r="U297">
        <v>6.9</v>
      </c>
      <c r="V297">
        <v>1.46</v>
      </c>
      <c r="W297">
        <v>23</v>
      </c>
      <c r="AA297">
        <v>-1</v>
      </c>
      <c r="AB297">
        <v>-0.24</v>
      </c>
      <c r="AD297">
        <v>0</v>
      </c>
      <c r="AF297">
        <v>10.7</v>
      </c>
      <c r="AG297">
        <v>3.4</v>
      </c>
      <c r="AI297">
        <v>11.1</v>
      </c>
      <c r="AJ297">
        <v>3.7</v>
      </c>
    </row>
    <row r="298" spans="1:36" customFormat="1" ht="18" customHeight="1">
      <c r="A298">
        <v>292</v>
      </c>
      <c r="B298" t="s">
        <v>1353</v>
      </c>
      <c r="C298" t="s">
        <v>1022</v>
      </c>
      <c r="D298" t="s">
        <v>1022</v>
      </c>
      <c r="E298" t="s">
        <v>2566</v>
      </c>
      <c r="F298" t="s">
        <v>662</v>
      </c>
      <c r="G298">
        <v>2001</v>
      </c>
      <c r="H298" t="s">
        <v>1581</v>
      </c>
      <c r="K298" t="s">
        <v>1574</v>
      </c>
      <c r="O298">
        <v>0.3</v>
      </c>
      <c r="P298">
        <v>0.15</v>
      </c>
      <c r="Q298">
        <v>23</v>
      </c>
      <c r="R298" s="716">
        <v>496</v>
      </c>
      <c r="S298" s="716">
        <v>230</v>
      </c>
      <c r="U298">
        <v>0.3</v>
      </c>
      <c r="V298">
        <v>0.19</v>
      </c>
      <c r="W298">
        <v>23</v>
      </c>
      <c r="AA298">
        <v>-1</v>
      </c>
      <c r="AB298">
        <v>0.05</v>
      </c>
      <c r="AD298">
        <v>0</v>
      </c>
      <c r="AF298">
        <v>10.7</v>
      </c>
      <c r="AG298">
        <v>3.4</v>
      </c>
      <c r="AI298">
        <v>11.1</v>
      </c>
      <c r="AJ298">
        <v>3.7</v>
      </c>
    </row>
    <row r="299" spans="1:36" customFormat="1" ht="18" customHeight="1">
      <c r="A299">
        <v>293</v>
      </c>
      <c r="B299" t="s">
        <v>1353</v>
      </c>
      <c r="C299" t="s">
        <v>1022</v>
      </c>
      <c r="D299" t="s">
        <v>1022</v>
      </c>
      <c r="E299" t="s">
        <v>2566</v>
      </c>
      <c r="F299" t="s">
        <v>662</v>
      </c>
      <c r="G299">
        <v>2001</v>
      </c>
      <c r="H299" t="s">
        <v>1581</v>
      </c>
      <c r="K299" t="s">
        <v>1575</v>
      </c>
      <c r="O299">
        <v>5.9</v>
      </c>
      <c r="P299">
        <v>1.98</v>
      </c>
      <c r="Q299">
        <v>23</v>
      </c>
      <c r="R299" s="716">
        <v>496</v>
      </c>
      <c r="S299" s="716">
        <v>230</v>
      </c>
      <c r="U299">
        <v>6</v>
      </c>
      <c r="V299">
        <v>2.4</v>
      </c>
      <c r="W299">
        <v>23</v>
      </c>
      <c r="AA299">
        <v>-1</v>
      </c>
      <c r="AB299">
        <v>-0.05</v>
      </c>
      <c r="AD299">
        <v>0</v>
      </c>
      <c r="AF299">
        <v>10.7</v>
      </c>
      <c r="AG299">
        <v>3.4</v>
      </c>
      <c r="AI299">
        <v>11.1</v>
      </c>
      <c r="AJ299">
        <v>3.7</v>
      </c>
    </row>
    <row r="300" spans="1:36" customFormat="1" ht="18" customHeight="1">
      <c r="A300">
        <v>294</v>
      </c>
      <c r="B300" t="s">
        <v>1353</v>
      </c>
      <c r="C300" t="s">
        <v>1022</v>
      </c>
      <c r="D300" t="s">
        <v>1022</v>
      </c>
      <c r="E300" t="s">
        <v>2566</v>
      </c>
      <c r="F300" t="s">
        <v>662</v>
      </c>
      <c r="G300">
        <v>2001</v>
      </c>
      <c r="H300" t="s">
        <v>1581</v>
      </c>
      <c r="K300" t="s">
        <v>1566</v>
      </c>
      <c r="O300">
        <v>10.3</v>
      </c>
      <c r="P300">
        <v>3.56</v>
      </c>
      <c r="Q300">
        <v>23</v>
      </c>
      <c r="R300" s="716">
        <v>496</v>
      </c>
      <c r="S300" s="716">
        <v>230</v>
      </c>
      <c r="U300">
        <v>11.4</v>
      </c>
      <c r="V300">
        <v>3.17</v>
      </c>
      <c r="W300">
        <v>23</v>
      </c>
      <c r="AA300">
        <v>-1</v>
      </c>
      <c r="AB300">
        <v>-0.33</v>
      </c>
      <c r="AD300">
        <v>1</v>
      </c>
      <c r="AF300">
        <v>10.7</v>
      </c>
      <c r="AG300">
        <v>3.4</v>
      </c>
      <c r="AI300">
        <v>11.1</v>
      </c>
      <c r="AJ300">
        <v>3.7</v>
      </c>
    </row>
    <row r="301" spans="1:36" customFormat="1" ht="18" customHeight="1">
      <c r="A301">
        <v>295</v>
      </c>
      <c r="B301" t="s">
        <v>1353</v>
      </c>
      <c r="C301" t="s">
        <v>1022</v>
      </c>
      <c r="D301" t="s">
        <v>1022</v>
      </c>
      <c r="E301" t="s">
        <v>2566</v>
      </c>
      <c r="F301" t="s">
        <v>662</v>
      </c>
      <c r="G301">
        <v>2001</v>
      </c>
      <c r="H301" t="s">
        <v>1581</v>
      </c>
      <c r="K301" t="s">
        <v>1567</v>
      </c>
      <c r="O301">
        <v>0.3</v>
      </c>
      <c r="P301">
        <v>0.2</v>
      </c>
      <c r="Q301">
        <v>23</v>
      </c>
      <c r="R301" s="716">
        <v>496</v>
      </c>
      <c r="S301" s="716">
        <v>230</v>
      </c>
      <c r="U301">
        <v>0.4</v>
      </c>
      <c r="V301">
        <v>0.21</v>
      </c>
      <c r="W301">
        <v>23</v>
      </c>
      <c r="AA301">
        <v>-1</v>
      </c>
      <c r="AB301">
        <v>-0.47</v>
      </c>
      <c r="AD301">
        <v>1</v>
      </c>
      <c r="AF301">
        <v>10.7</v>
      </c>
      <c r="AG301">
        <v>3.4</v>
      </c>
      <c r="AI301">
        <v>11.1</v>
      </c>
      <c r="AJ301">
        <v>3.7</v>
      </c>
    </row>
    <row r="302" spans="1:36" customFormat="1" ht="18" customHeight="1">
      <c r="A302">
        <v>296</v>
      </c>
      <c r="B302" t="s">
        <v>1353</v>
      </c>
      <c r="C302" t="s">
        <v>1022</v>
      </c>
      <c r="D302" t="s">
        <v>1022</v>
      </c>
      <c r="E302" t="s">
        <v>2566</v>
      </c>
      <c r="F302" t="s">
        <v>662</v>
      </c>
      <c r="G302">
        <v>2001</v>
      </c>
      <c r="H302" t="s">
        <v>1581</v>
      </c>
      <c r="K302" t="s">
        <v>1568</v>
      </c>
      <c r="O302">
        <v>9.4</v>
      </c>
      <c r="P302">
        <v>2.69</v>
      </c>
      <c r="Q302">
        <v>23</v>
      </c>
      <c r="R302" s="716">
        <v>496</v>
      </c>
      <c r="S302" s="716">
        <v>230</v>
      </c>
      <c r="U302">
        <v>10.4</v>
      </c>
      <c r="V302">
        <v>3.39</v>
      </c>
      <c r="W302">
        <v>23</v>
      </c>
      <c r="AA302">
        <v>-1</v>
      </c>
      <c r="AB302">
        <v>-0.28000000000000003</v>
      </c>
      <c r="AD302">
        <v>1</v>
      </c>
      <c r="AF302">
        <v>10.7</v>
      </c>
      <c r="AG302">
        <v>3.4</v>
      </c>
      <c r="AI302">
        <v>11.1</v>
      </c>
      <c r="AJ302">
        <v>3.7</v>
      </c>
    </row>
    <row r="303" spans="1:36" customFormat="1" ht="18" customHeight="1">
      <c r="A303">
        <v>297</v>
      </c>
      <c r="B303" t="s">
        <v>1353</v>
      </c>
      <c r="C303" t="s">
        <v>1022</v>
      </c>
      <c r="D303" t="s">
        <v>1022</v>
      </c>
      <c r="E303" t="s">
        <v>2566</v>
      </c>
      <c r="F303" t="s">
        <v>662</v>
      </c>
      <c r="G303">
        <v>2001</v>
      </c>
      <c r="H303" t="s">
        <v>1581</v>
      </c>
      <c r="K303" t="s">
        <v>1569</v>
      </c>
      <c r="O303">
        <v>9.9</v>
      </c>
      <c r="P303">
        <v>2.44</v>
      </c>
      <c r="Q303">
        <v>23</v>
      </c>
      <c r="R303" s="716">
        <v>496</v>
      </c>
      <c r="S303" s="716">
        <v>230</v>
      </c>
      <c r="U303">
        <v>10.4</v>
      </c>
      <c r="V303">
        <v>2.94</v>
      </c>
      <c r="W303">
        <v>23</v>
      </c>
      <c r="AA303">
        <v>-1</v>
      </c>
      <c r="AB303">
        <v>-0.19</v>
      </c>
      <c r="AD303">
        <v>1</v>
      </c>
      <c r="AF303">
        <v>10.7</v>
      </c>
      <c r="AG303">
        <v>3.4</v>
      </c>
      <c r="AI303">
        <v>11.1</v>
      </c>
      <c r="AJ303">
        <v>3.7</v>
      </c>
    </row>
    <row r="304" spans="1:36" customFormat="1" ht="18" customHeight="1">
      <c r="A304">
        <v>298</v>
      </c>
      <c r="B304" t="s">
        <v>1353</v>
      </c>
      <c r="C304" t="s">
        <v>1027</v>
      </c>
      <c r="D304" t="s">
        <v>1027</v>
      </c>
      <c r="E304" t="s">
        <v>2566</v>
      </c>
      <c r="F304" t="s">
        <v>1393</v>
      </c>
      <c r="G304">
        <v>2005</v>
      </c>
      <c r="H304" t="s">
        <v>1581</v>
      </c>
      <c r="K304" t="s">
        <v>1571</v>
      </c>
      <c r="O304">
        <v>49</v>
      </c>
      <c r="P304">
        <v>10</v>
      </c>
      <c r="Q304">
        <v>26</v>
      </c>
      <c r="R304" s="716">
        <v>489</v>
      </c>
      <c r="S304" s="716">
        <v>181</v>
      </c>
      <c r="U304">
        <v>53</v>
      </c>
      <c r="V304">
        <v>9</v>
      </c>
      <c r="W304">
        <v>21</v>
      </c>
      <c r="AA304">
        <v>-1</v>
      </c>
      <c r="AB304">
        <v>-0.44</v>
      </c>
      <c r="AD304">
        <v>0</v>
      </c>
      <c r="AF304">
        <v>12.3</v>
      </c>
      <c r="AG304">
        <v>3.7</v>
      </c>
      <c r="AI304">
        <v>11.8</v>
      </c>
      <c r="AJ304">
        <v>3.6</v>
      </c>
    </row>
    <row r="305" spans="1:40" customFormat="1" ht="18" customHeight="1">
      <c r="A305">
        <v>299</v>
      </c>
      <c r="B305" t="s">
        <v>908</v>
      </c>
      <c r="C305" t="s">
        <v>89</v>
      </c>
      <c r="D305" t="s">
        <v>89</v>
      </c>
      <c r="E305" t="s">
        <v>2566</v>
      </c>
      <c r="F305" t="s">
        <v>21</v>
      </c>
      <c r="G305">
        <v>2021</v>
      </c>
      <c r="H305" t="s">
        <v>1564</v>
      </c>
      <c r="K305" t="s">
        <v>640</v>
      </c>
      <c r="O305">
        <v>-0.3</v>
      </c>
      <c r="P305">
        <v>1</v>
      </c>
      <c r="Q305">
        <v>153</v>
      </c>
      <c r="R305" s="716">
        <v>908</v>
      </c>
      <c r="S305" s="716"/>
      <c r="U305">
        <v>0</v>
      </c>
      <c r="V305">
        <v>1</v>
      </c>
      <c r="W305">
        <v>76</v>
      </c>
      <c r="Y305">
        <v>0.33</v>
      </c>
      <c r="AA305">
        <v>-1</v>
      </c>
      <c r="AB305">
        <v>-0.33</v>
      </c>
      <c r="AC305">
        <v>1</v>
      </c>
      <c r="AD305">
        <v>1</v>
      </c>
      <c r="AK305">
        <v>1</v>
      </c>
      <c r="AM305" t="s">
        <v>23</v>
      </c>
    </row>
    <row r="306" spans="1:40" customFormat="1" ht="18" customHeight="1">
      <c r="A306">
        <v>300</v>
      </c>
      <c r="B306" t="s">
        <v>908</v>
      </c>
      <c r="C306" t="s">
        <v>89</v>
      </c>
      <c r="D306" t="s">
        <v>89</v>
      </c>
      <c r="E306" t="s">
        <v>2566</v>
      </c>
      <c r="F306" t="s">
        <v>2478</v>
      </c>
      <c r="G306">
        <v>2023</v>
      </c>
      <c r="H306" t="s">
        <v>1564</v>
      </c>
      <c r="M306" t="s">
        <v>1689</v>
      </c>
      <c r="O306">
        <v>7.6</v>
      </c>
      <c r="P306">
        <v>2.37</v>
      </c>
      <c r="Q306">
        <v>20</v>
      </c>
      <c r="R306" s="716">
        <v>586</v>
      </c>
      <c r="S306" s="716">
        <v>420</v>
      </c>
      <c r="U306">
        <v>10.3</v>
      </c>
      <c r="V306">
        <v>2.64</v>
      </c>
      <c r="W306">
        <v>20</v>
      </c>
      <c r="X306" t="s">
        <v>1149</v>
      </c>
      <c r="Y306">
        <v>0.47</v>
      </c>
      <c r="AA306">
        <v>-1</v>
      </c>
      <c r="AB306">
        <v>-1</v>
      </c>
      <c r="AD306">
        <v>0</v>
      </c>
      <c r="AF306" t="s">
        <v>1149</v>
      </c>
    </row>
    <row r="307" spans="1:40" customFormat="1" ht="18" customHeight="1">
      <c r="A307">
        <v>301</v>
      </c>
      <c r="B307" t="s">
        <v>908</v>
      </c>
      <c r="C307" t="s">
        <v>89</v>
      </c>
      <c r="D307" t="s">
        <v>89</v>
      </c>
      <c r="E307" t="s">
        <v>2566</v>
      </c>
      <c r="F307" t="s">
        <v>2710</v>
      </c>
      <c r="G307">
        <v>2017</v>
      </c>
      <c r="H307" t="s">
        <v>1564</v>
      </c>
      <c r="K307" t="s">
        <v>1564</v>
      </c>
      <c r="O307">
        <v>6.1</v>
      </c>
      <c r="P307">
        <v>1</v>
      </c>
      <c r="Q307">
        <v>37</v>
      </c>
      <c r="R307" s="716">
        <v>720</v>
      </c>
      <c r="S307" s="716"/>
      <c r="U307">
        <v>6.5</v>
      </c>
      <c r="V307">
        <v>0.9</v>
      </c>
      <c r="W307">
        <v>30</v>
      </c>
      <c r="Y307">
        <v>0.42</v>
      </c>
      <c r="AA307">
        <v>-1</v>
      </c>
      <c r="AB307">
        <v>-0.44</v>
      </c>
      <c r="AD307">
        <v>1</v>
      </c>
      <c r="AK307">
        <v>1</v>
      </c>
      <c r="AL307" t="s">
        <v>48</v>
      </c>
      <c r="AM307" t="s">
        <v>32</v>
      </c>
      <c r="AN307" t="s">
        <v>41</v>
      </c>
    </row>
    <row r="308" spans="1:40" customFormat="1" ht="18" customHeight="1">
      <c r="A308">
        <v>302</v>
      </c>
      <c r="B308" t="s">
        <v>908</v>
      </c>
      <c r="C308" t="s">
        <v>89</v>
      </c>
      <c r="D308" t="s">
        <v>89</v>
      </c>
      <c r="E308" t="s">
        <v>2566</v>
      </c>
      <c r="F308" t="s">
        <v>51</v>
      </c>
      <c r="G308">
        <v>2021</v>
      </c>
      <c r="H308" t="s">
        <v>1564</v>
      </c>
      <c r="K308" t="s">
        <v>1564</v>
      </c>
      <c r="O308">
        <v>14</v>
      </c>
      <c r="P308">
        <v>3.2</v>
      </c>
      <c r="Q308">
        <v>19</v>
      </c>
      <c r="R308" s="716">
        <v>890</v>
      </c>
      <c r="S308" s="716"/>
      <c r="U308">
        <v>19</v>
      </c>
      <c r="V308">
        <v>2.36</v>
      </c>
      <c r="W308">
        <v>25</v>
      </c>
      <c r="Y308">
        <v>1.78</v>
      </c>
      <c r="AA308">
        <v>-1</v>
      </c>
      <c r="AB308">
        <v>-2.08</v>
      </c>
      <c r="AD308">
        <v>1</v>
      </c>
      <c r="AK308">
        <v>2</v>
      </c>
      <c r="AM308" t="s">
        <v>32</v>
      </c>
    </row>
    <row r="309" spans="1:40" customFormat="1" ht="18" customHeight="1">
      <c r="A309">
        <v>303</v>
      </c>
      <c r="B309" t="s">
        <v>908</v>
      </c>
      <c r="C309" t="s">
        <v>89</v>
      </c>
      <c r="D309" t="s">
        <v>89</v>
      </c>
      <c r="E309" t="s">
        <v>2566</v>
      </c>
      <c r="F309" t="s">
        <v>54</v>
      </c>
      <c r="G309">
        <v>2020</v>
      </c>
      <c r="H309" t="s">
        <v>1564</v>
      </c>
      <c r="K309" t="s">
        <v>1564</v>
      </c>
      <c r="O309">
        <v>5.9</v>
      </c>
      <c r="P309">
        <v>0.9</v>
      </c>
      <c r="Q309">
        <v>19</v>
      </c>
      <c r="R309" s="716">
        <v>1042</v>
      </c>
      <c r="S309" s="716"/>
      <c r="U309">
        <v>5.9</v>
      </c>
      <c r="V309">
        <v>1.1000000000000001</v>
      </c>
      <c r="W309">
        <v>19</v>
      </c>
      <c r="Y309">
        <v>0</v>
      </c>
      <c r="AA309">
        <v>-1</v>
      </c>
      <c r="AB309">
        <v>0</v>
      </c>
      <c r="AD309">
        <v>1</v>
      </c>
      <c r="AK309">
        <v>1</v>
      </c>
      <c r="AL309" t="s">
        <v>48</v>
      </c>
      <c r="AM309" t="s">
        <v>24</v>
      </c>
      <c r="AN309" t="s">
        <v>41</v>
      </c>
    </row>
    <row r="310" spans="1:40" customFormat="1" ht="18" customHeight="1">
      <c r="A310">
        <v>304</v>
      </c>
      <c r="B310" t="s">
        <v>1353</v>
      </c>
      <c r="C310" t="s">
        <v>89</v>
      </c>
      <c r="D310" t="s">
        <v>89</v>
      </c>
      <c r="E310" t="s">
        <v>2566</v>
      </c>
      <c r="F310" t="s">
        <v>2461</v>
      </c>
      <c r="G310">
        <v>2008</v>
      </c>
      <c r="H310" t="s">
        <v>1564</v>
      </c>
      <c r="K310" t="s">
        <v>1564</v>
      </c>
      <c r="O310">
        <v>5.3</v>
      </c>
      <c r="P310">
        <v>1.149</v>
      </c>
      <c r="Q310">
        <v>33</v>
      </c>
      <c r="R310" s="716"/>
      <c r="S310" s="716"/>
      <c r="U310">
        <v>5.6</v>
      </c>
      <c r="V310">
        <v>1.1659999999999999</v>
      </c>
      <c r="W310">
        <v>34</v>
      </c>
      <c r="AA310">
        <v>-1</v>
      </c>
      <c r="AB310">
        <v>-0.2</v>
      </c>
      <c r="AD310">
        <v>1</v>
      </c>
      <c r="AF310">
        <v>11.18</v>
      </c>
      <c r="AG310">
        <v>3.4</v>
      </c>
      <c r="AI310">
        <v>10.3</v>
      </c>
      <c r="AJ310">
        <v>3.1</v>
      </c>
    </row>
    <row r="311" spans="1:40" customFormat="1" ht="18" customHeight="1">
      <c r="A311">
        <v>305</v>
      </c>
      <c r="B311" t="s">
        <v>1353</v>
      </c>
      <c r="C311" t="s">
        <v>89</v>
      </c>
      <c r="D311" t="s">
        <v>89</v>
      </c>
      <c r="E311" t="s">
        <v>2566</v>
      </c>
      <c r="F311" t="s">
        <v>1392</v>
      </c>
      <c r="G311">
        <v>2018</v>
      </c>
      <c r="H311" t="s">
        <v>1564</v>
      </c>
      <c r="K311" t="s">
        <v>1564</v>
      </c>
      <c r="O311">
        <v>5.4</v>
      </c>
      <c r="P311">
        <v>0.5</v>
      </c>
      <c r="Q311">
        <v>11</v>
      </c>
      <c r="R311" s="716">
        <v>743</v>
      </c>
      <c r="S311" s="716">
        <v>84</v>
      </c>
      <c r="U311">
        <v>5.9</v>
      </c>
      <c r="V311">
        <v>0.8</v>
      </c>
      <c r="W311">
        <v>28</v>
      </c>
      <c r="AA311">
        <v>-1</v>
      </c>
      <c r="AB311">
        <v>-0.61</v>
      </c>
      <c r="AD311">
        <v>1</v>
      </c>
      <c r="AF311">
        <v>13</v>
      </c>
      <c r="AG311">
        <v>2.5</v>
      </c>
      <c r="AI311">
        <v>11.8</v>
      </c>
      <c r="AJ311">
        <v>2.5</v>
      </c>
    </row>
    <row r="312" spans="1:40" customFormat="1" ht="18" customHeight="1">
      <c r="A312">
        <v>306</v>
      </c>
      <c r="B312" t="s">
        <v>1353</v>
      </c>
      <c r="C312" t="s">
        <v>89</v>
      </c>
      <c r="D312" t="s">
        <v>89</v>
      </c>
      <c r="E312" t="s">
        <v>2566</v>
      </c>
      <c r="F312" t="s">
        <v>1399</v>
      </c>
      <c r="G312">
        <v>1998</v>
      </c>
      <c r="H312" t="s">
        <v>1564</v>
      </c>
      <c r="K312" t="s">
        <v>1564</v>
      </c>
      <c r="O312">
        <v>18.5</v>
      </c>
      <c r="P312">
        <v>4.7</v>
      </c>
      <c r="Q312">
        <v>11</v>
      </c>
      <c r="R312" s="716">
        <v>388</v>
      </c>
      <c r="S312" s="716">
        <v>127</v>
      </c>
      <c r="U312">
        <v>20.9</v>
      </c>
      <c r="V312">
        <v>4.6399999999999997</v>
      </c>
      <c r="W312">
        <v>11</v>
      </c>
      <c r="AA312">
        <v>-1</v>
      </c>
      <c r="AB312">
        <v>-0.51</v>
      </c>
      <c r="AD312">
        <v>1</v>
      </c>
      <c r="AF312">
        <v>8.83</v>
      </c>
      <c r="AG312">
        <v>1.7</v>
      </c>
      <c r="AI312">
        <v>8.8000000000000007</v>
      </c>
      <c r="AJ312">
        <v>1.7</v>
      </c>
    </row>
    <row r="313" spans="1:40" customFormat="1" ht="18" customHeight="1">
      <c r="A313">
        <v>307</v>
      </c>
      <c r="B313" t="s">
        <v>908</v>
      </c>
      <c r="C313" t="s">
        <v>89</v>
      </c>
      <c r="D313" t="s">
        <v>89</v>
      </c>
      <c r="E313" t="s">
        <v>2566</v>
      </c>
      <c r="F313" t="s">
        <v>2478</v>
      </c>
      <c r="G313">
        <v>2023</v>
      </c>
      <c r="H313" t="s">
        <v>533</v>
      </c>
      <c r="K313" t="s">
        <v>1697</v>
      </c>
      <c r="L313" t="s">
        <v>1698</v>
      </c>
      <c r="N313" t="s">
        <v>1699</v>
      </c>
      <c r="O313">
        <v>7.9</v>
      </c>
      <c r="P313">
        <v>2.35</v>
      </c>
      <c r="Q313">
        <v>20</v>
      </c>
      <c r="R313" s="716">
        <v>586</v>
      </c>
      <c r="S313" s="716">
        <v>420</v>
      </c>
      <c r="U313">
        <v>9.1999999999999993</v>
      </c>
      <c r="V313">
        <v>1.95</v>
      </c>
      <c r="W313">
        <v>20</v>
      </c>
      <c r="X313" t="s">
        <v>1149</v>
      </c>
      <c r="Y313">
        <v>0.28000000000000003</v>
      </c>
      <c r="AA313">
        <v>-1</v>
      </c>
      <c r="AB313">
        <v>-0.65</v>
      </c>
      <c r="AD313">
        <v>0</v>
      </c>
      <c r="AF313" t="s">
        <v>1149</v>
      </c>
    </row>
    <row r="314" spans="1:40" customFormat="1" ht="18" customHeight="1">
      <c r="A314">
        <v>308</v>
      </c>
      <c r="B314" t="s">
        <v>908</v>
      </c>
      <c r="C314" t="s">
        <v>89</v>
      </c>
      <c r="D314" t="s">
        <v>89</v>
      </c>
      <c r="E314" t="s">
        <v>2566</v>
      </c>
      <c r="F314" t="s">
        <v>21</v>
      </c>
      <c r="G314">
        <v>2021</v>
      </c>
      <c r="H314" t="s">
        <v>533</v>
      </c>
      <c r="K314" t="s">
        <v>640</v>
      </c>
      <c r="O314">
        <v>-0.5</v>
      </c>
      <c r="P314">
        <v>0.83</v>
      </c>
      <c r="Q314">
        <v>153</v>
      </c>
      <c r="R314" s="716">
        <v>908</v>
      </c>
      <c r="S314" s="716"/>
      <c r="U314">
        <v>0</v>
      </c>
      <c r="V314">
        <v>1</v>
      </c>
      <c r="W314">
        <v>76</v>
      </c>
      <c r="Y314">
        <v>0.33</v>
      </c>
      <c r="AA314">
        <v>-1</v>
      </c>
      <c r="AB314">
        <v>-0.47</v>
      </c>
      <c r="AC314">
        <v>0.83</v>
      </c>
      <c r="AD314">
        <v>1</v>
      </c>
      <c r="AK314">
        <v>1</v>
      </c>
      <c r="AM314" t="s">
        <v>23</v>
      </c>
    </row>
    <row r="315" spans="1:40" customFormat="1" ht="18" customHeight="1">
      <c r="A315">
        <v>309</v>
      </c>
      <c r="B315" t="s">
        <v>1353</v>
      </c>
      <c r="C315" t="s">
        <v>89</v>
      </c>
      <c r="D315" t="s">
        <v>89</v>
      </c>
      <c r="E315" t="s">
        <v>2566</v>
      </c>
      <c r="F315" t="s">
        <v>2461</v>
      </c>
      <c r="G315">
        <v>2008</v>
      </c>
      <c r="H315" t="s">
        <v>533</v>
      </c>
      <c r="K315" t="s">
        <v>533</v>
      </c>
      <c r="O315">
        <v>3.3</v>
      </c>
      <c r="P315">
        <v>1.149</v>
      </c>
      <c r="Q315">
        <v>33</v>
      </c>
      <c r="R315" s="716"/>
      <c r="S315" s="716"/>
      <c r="U315">
        <v>3.9</v>
      </c>
      <c r="V315">
        <v>1.1659999999999999</v>
      </c>
      <c r="W315">
        <v>34</v>
      </c>
      <c r="AA315">
        <v>-1</v>
      </c>
      <c r="AB315">
        <v>-0.52</v>
      </c>
      <c r="AD315">
        <v>1</v>
      </c>
      <c r="AF315">
        <v>11.18</v>
      </c>
      <c r="AG315">
        <v>3.4</v>
      </c>
      <c r="AI315">
        <v>10.3</v>
      </c>
      <c r="AJ315">
        <v>3.1</v>
      </c>
    </row>
    <row r="316" spans="1:40" customFormat="1" ht="18" customHeight="1">
      <c r="A316">
        <v>310</v>
      </c>
      <c r="B316" t="s">
        <v>1353</v>
      </c>
      <c r="C316" t="s">
        <v>89</v>
      </c>
      <c r="D316" t="s">
        <v>89</v>
      </c>
      <c r="E316" t="s">
        <v>2566</v>
      </c>
      <c r="F316" t="s">
        <v>1392</v>
      </c>
      <c r="G316">
        <v>2018</v>
      </c>
      <c r="H316" t="s">
        <v>533</v>
      </c>
      <c r="K316" t="s">
        <v>533</v>
      </c>
      <c r="O316">
        <v>3.5</v>
      </c>
      <c r="P316">
        <v>0.5</v>
      </c>
      <c r="Q316">
        <v>11</v>
      </c>
      <c r="R316" s="716">
        <v>743</v>
      </c>
      <c r="S316" s="716">
        <v>84</v>
      </c>
      <c r="U316">
        <v>4.3</v>
      </c>
      <c r="V316">
        <v>0.8</v>
      </c>
      <c r="W316">
        <v>28</v>
      </c>
      <c r="AA316">
        <v>-1</v>
      </c>
      <c r="AB316">
        <v>-0.98</v>
      </c>
      <c r="AD316">
        <v>1</v>
      </c>
      <c r="AF316">
        <v>13</v>
      </c>
      <c r="AG316">
        <v>2.5</v>
      </c>
      <c r="AI316">
        <v>11.8</v>
      </c>
      <c r="AJ316">
        <v>2.5</v>
      </c>
    </row>
    <row r="317" spans="1:40" customFormat="1" ht="18" customHeight="1">
      <c r="A317">
        <v>311</v>
      </c>
      <c r="B317" t="s">
        <v>908</v>
      </c>
      <c r="C317" t="s">
        <v>89</v>
      </c>
      <c r="D317" t="s">
        <v>89</v>
      </c>
      <c r="E317" t="s">
        <v>2566</v>
      </c>
      <c r="F317" t="s">
        <v>1847</v>
      </c>
      <c r="G317">
        <v>2023</v>
      </c>
      <c r="H317" t="s">
        <v>1062</v>
      </c>
      <c r="K317" t="s">
        <v>1690</v>
      </c>
      <c r="L317" t="s">
        <v>1691</v>
      </c>
      <c r="M317" t="s">
        <v>1637</v>
      </c>
      <c r="O317">
        <v>45</v>
      </c>
      <c r="P317">
        <v>10.3</v>
      </c>
      <c r="Q317">
        <v>40</v>
      </c>
      <c r="R317" s="716">
        <v>589</v>
      </c>
      <c r="S317" s="716">
        <v>444</v>
      </c>
      <c r="U317">
        <v>53</v>
      </c>
      <c r="V317">
        <v>7.8</v>
      </c>
      <c r="W317">
        <v>32</v>
      </c>
      <c r="X317" t="s">
        <v>1149</v>
      </c>
      <c r="Y317">
        <v>0.88</v>
      </c>
      <c r="AA317">
        <v>-1</v>
      </c>
      <c r="AB317">
        <v>-1.01</v>
      </c>
      <c r="AD317">
        <v>1</v>
      </c>
      <c r="AF317" t="s">
        <v>1149</v>
      </c>
    </row>
    <row r="318" spans="1:40" customFormat="1" ht="18" customHeight="1">
      <c r="A318">
        <v>312</v>
      </c>
      <c r="B318" t="s">
        <v>908</v>
      </c>
      <c r="C318" t="s">
        <v>89</v>
      </c>
      <c r="D318" t="s">
        <v>89</v>
      </c>
      <c r="E318" t="s">
        <v>2566</v>
      </c>
      <c r="F318" t="s">
        <v>1501</v>
      </c>
      <c r="G318">
        <v>2022</v>
      </c>
      <c r="H318" t="s">
        <v>1561</v>
      </c>
      <c r="I318" t="s">
        <v>961</v>
      </c>
      <c r="J318" t="s">
        <v>961</v>
      </c>
      <c r="K318" t="s">
        <v>90</v>
      </c>
      <c r="O318">
        <v>81.400000000000006</v>
      </c>
      <c r="P318">
        <v>6.3</v>
      </c>
      <c r="Q318">
        <v>20</v>
      </c>
      <c r="R318" s="716">
        <v>702</v>
      </c>
      <c r="S318" s="716"/>
      <c r="U318">
        <v>87.4</v>
      </c>
      <c r="V318">
        <v>7.9</v>
      </c>
      <c r="W318">
        <v>40</v>
      </c>
      <c r="Y318">
        <v>0.84</v>
      </c>
      <c r="AA318">
        <v>-1</v>
      </c>
      <c r="AB318">
        <v>-0.75</v>
      </c>
      <c r="AD318">
        <v>1</v>
      </c>
      <c r="AK318">
        <v>1</v>
      </c>
    </row>
    <row r="319" spans="1:40" customFormat="1" ht="18" customHeight="1">
      <c r="A319">
        <v>313</v>
      </c>
      <c r="B319" t="s">
        <v>908</v>
      </c>
      <c r="C319" t="s">
        <v>89</v>
      </c>
      <c r="D319" t="s">
        <v>89</v>
      </c>
      <c r="E319" t="s">
        <v>2566</v>
      </c>
      <c r="F319" t="s">
        <v>1501</v>
      </c>
      <c r="G319">
        <v>2022</v>
      </c>
      <c r="H319" t="s">
        <v>1561</v>
      </c>
      <c r="I319" t="s">
        <v>1419</v>
      </c>
      <c r="J319" t="s">
        <v>1419</v>
      </c>
      <c r="K319" t="s">
        <v>91</v>
      </c>
      <c r="O319">
        <v>816</v>
      </c>
      <c r="P319">
        <v>306.5</v>
      </c>
      <c r="Q319">
        <v>20</v>
      </c>
      <c r="R319" s="716">
        <v>702</v>
      </c>
      <c r="S319" s="716"/>
      <c r="U319">
        <v>771.6</v>
      </c>
      <c r="V319">
        <v>282.39999999999998</v>
      </c>
      <c r="W319">
        <v>40</v>
      </c>
      <c r="Y319">
        <v>-0.15</v>
      </c>
      <c r="AA319">
        <v>1</v>
      </c>
      <c r="AB319">
        <v>-0.16</v>
      </c>
      <c r="AD319">
        <v>1</v>
      </c>
      <c r="AK319">
        <v>1</v>
      </c>
    </row>
    <row r="320" spans="1:40" customFormat="1" ht="18" customHeight="1">
      <c r="A320">
        <v>314</v>
      </c>
      <c r="B320" t="s">
        <v>908</v>
      </c>
      <c r="C320" t="s">
        <v>89</v>
      </c>
      <c r="D320" t="s">
        <v>89</v>
      </c>
      <c r="E320" t="s">
        <v>2566</v>
      </c>
      <c r="F320" t="s">
        <v>33</v>
      </c>
      <c r="G320">
        <v>2005</v>
      </c>
      <c r="H320" t="s">
        <v>1561</v>
      </c>
      <c r="K320" t="s">
        <v>93</v>
      </c>
      <c r="O320">
        <v>95.2</v>
      </c>
      <c r="P320">
        <v>3.46</v>
      </c>
      <c r="Q320">
        <v>25</v>
      </c>
      <c r="R320" s="716">
        <v>759</v>
      </c>
      <c r="S320" s="716"/>
      <c r="U320">
        <v>94.6</v>
      </c>
      <c r="V320">
        <v>3.7</v>
      </c>
      <c r="W320">
        <v>25</v>
      </c>
      <c r="Y320">
        <v>-0.16</v>
      </c>
      <c r="AA320">
        <v>-1</v>
      </c>
      <c r="AB320">
        <v>0.15</v>
      </c>
      <c r="AD320">
        <v>1</v>
      </c>
      <c r="AK320">
        <v>2</v>
      </c>
      <c r="AL320" t="s">
        <v>31</v>
      </c>
      <c r="AM320" t="s">
        <v>32</v>
      </c>
      <c r="AN320" t="s">
        <v>31</v>
      </c>
    </row>
    <row r="321" spans="1:40" customFormat="1" ht="18" customHeight="1">
      <c r="A321">
        <v>315</v>
      </c>
      <c r="B321" t="s">
        <v>908</v>
      </c>
      <c r="C321" t="s">
        <v>89</v>
      </c>
      <c r="D321" t="s">
        <v>89</v>
      </c>
      <c r="E321" t="s">
        <v>2566</v>
      </c>
      <c r="F321" t="s">
        <v>63</v>
      </c>
      <c r="G321">
        <v>2007</v>
      </c>
      <c r="H321" t="s">
        <v>1561</v>
      </c>
      <c r="I321" t="s">
        <v>961</v>
      </c>
      <c r="J321" t="s">
        <v>961</v>
      </c>
      <c r="K321" t="s">
        <v>94</v>
      </c>
      <c r="O321">
        <v>92.4</v>
      </c>
      <c r="P321">
        <v>4.99</v>
      </c>
      <c r="Q321">
        <v>25</v>
      </c>
      <c r="R321" s="716">
        <v>1286</v>
      </c>
      <c r="S321" s="716"/>
      <c r="U321">
        <v>93.9</v>
      </c>
      <c r="V321">
        <v>4.8600000000000003</v>
      </c>
      <c r="W321">
        <v>45</v>
      </c>
      <c r="Y321">
        <v>0.28999999999999998</v>
      </c>
      <c r="AA321">
        <v>-1</v>
      </c>
      <c r="AB321">
        <v>-0.3</v>
      </c>
      <c r="AD321">
        <v>1</v>
      </c>
      <c r="AK321">
        <v>2</v>
      </c>
      <c r="AL321" t="s">
        <v>31</v>
      </c>
      <c r="AM321" t="s">
        <v>32</v>
      </c>
      <c r="AN321" t="s">
        <v>31</v>
      </c>
    </row>
    <row r="322" spans="1:40" customFormat="1" ht="18" customHeight="1">
      <c r="A322">
        <v>316</v>
      </c>
      <c r="B322" t="s">
        <v>908</v>
      </c>
      <c r="C322" t="s">
        <v>89</v>
      </c>
      <c r="D322" t="s">
        <v>89</v>
      </c>
      <c r="E322" t="s">
        <v>2566</v>
      </c>
      <c r="F322" t="s">
        <v>63</v>
      </c>
      <c r="G322">
        <v>2007</v>
      </c>
      <c r="H322" t="s">
        <v>1561</v>
      </c>
      <c r="I322" t="s">
        <v>1419</v>
      </c>
      <c r="J322" t="s">
        <v>1419</v>
      </c>
      <c r="K322" t="s">
        <v>95</v>
      </c>
      <c r="O322">
        <v>0.8</v>
      </c>
      <c r="P322">
        <v>0.68</v>
      </c>
      <c r="Q322">
        <v>25</v>
      </c>
      <c r="R322" s="716">
        <v>1286</v>
      </c>
      <c r="S322" s="716"/>
      <c r="U322">
        <v>0.6</v>
      </c>
      <c r="V322">
        <v>0.26</v>
      </c>
      <c r="W322">
        <v>45</v>
      </c>
      <c r="Y322">
        <v>-0.41</v>
      </c>
      <c r="AA322">
        <v>1</v>
      </c>
      <c r="AB322">
        <v>-0.8</v>
      </c>
      <c r="AD322">
        <v>1</v>
      </c>
      <c r="AK322">
        <v>2</v>
      </c>
      <c r="AL322" t="s">
        <v>31</v>
      </c>
      <c r="AM322" t="s">
        <v>32</v>
      </c>
      <c r="AN322" t="s">
        <v>31</v>
      </c>
    </row>
    <row r="323" spans="1:40" customFormat="1" ht="18" customHeight="1">
      <c r="A323">
        <v>317</v>
      </c>
      <c r="B323" t="s">
        <v>908</v>
      </c>
      <c r="C323" t="s">
        <v>89</v>
      </c>
      <c r="D323" t="s">
        <v>89</v>
      </c>
      <c r="E323" t="s">
        <v>2566</v>
      </c>
      <c r="F323" t="s">
        <v>2055</v>
      </c>
      <c r="G323">
        <v>2023</v>
      </c>
      <c r="H323" t="s">
        <v>1561</v>
      </c>
      <c r="K323" t="s">
        <v>1673</v>
      </c>
      <c r="L323" t="s">
        <v>1638</v>
      </c>
      <c r="M323" t="s">
        <v>1693</v>
      </c>
      <c r="N323" t="s">
        <v>1694</v>
      </c>
      <c r="O323">
        <v>94.5</v>
      </c>
      <c r="P323">
        <v>7</v>
      </c>
      <c r="Q323">
        <v>30</v>
      </c>
      <c r="R323" s="716">
        <v>741</v>
      </c>
      <c r="S323" s="716" t="s">
        <v>1619</v>
      </c>
      <c r="U323">
        <v>98</v>
      </c>
      <c r="V323">
        <v>3</v>
      </c>
      <c r="W323">
        <v>54</v>
      </c>
      <c r="X323">
        <v>54</v>
      </c>
      <c r="Y323">
        <v>0.41</v>
      </c>
      <c r="AA323">
        <v>-1</v>
      </c>
      <c r="AB323">
        <v>-1.1599999999999999</v>
      </c>
      <c r="AD323">
        <v>1</v>
      </c>
      <c r="AF323" t="s">
        <v>1149</v>
      </c>
    </row>
    <row r="324" spans="1:40" customFormat="1" ht="18" customHeight="1">
      <c r="A324">
        <v>318</v>
      </c>
      <c r="B324" t="s">
        <v>908</v>
      </c>
      <c r="C324" t="s">
        <v>89</v>
      </c>
      <c r="D324" t="s">
        <v>89</v>
      </c>
      <c r="E324" t="s">
        <v>2566</v>
      </c>
      <c r="F324" t="s">
        <v>2055</v>
      </c>
      <c r="G324">
        <v>2023</v>
      </c>
      <c r="H324" t="s">
        <v>1561</v>
      </c>
      <c r="K324" t="s">
        <v>1673</v>
      </c>
      <c r="L324" t="s">
        <v>1695</v>
      </c>
      <c r="M324" t="s">
        <v>1696</v>
      </c>
      <c r="N324" t="s">
        <v>1621</v>
      </c>
      <c r="O324">
        <v>-2.4</v>
      </c>
      <c r="P324">
        <v>7</v>
      </c>
      <c r="Q324">
        <v>30</v>
      </c>
      <c r="R324" s="716">
        <v>741</v>
      </c>
      <c r="S324" s="716" t="s">
        <v>1619</v>
      </c>
      <c r="U324">
        <v>0.8</v>
      </c>
      <c r="V324">
        <v>3.2</v>
      </c>
      <c r="W324">
        <v>54</v>
      </c>
      <c r="X324">
        <v>54</v>
      </c>
      <c r="Y324">
        <v>0.4</v>
      </c>
      <c r="AA324">
        <v>-1</v>
      </c>
      <c r="AB324">
        <v>-0.99</v>
      </c>
      <c r="AD324">
        <v>1</v>
      </c>
      <c r="AF324" t="s">
        <v>1149</v>
      </c>
    </row>
    <row r="325" spans="1:40" customFormat="1" ht="18" customHeight="1">
      <c r="A325">
        <v>319</v>
      </c>
      <c r="B325" t="s">
        <v>1353</v>
      </c>
      <c r="C325" t="s">
        <v>89</v>
      </c>
      <c r="D325" t="s">
        <v>89</v>
      </c>
      <c r="E325" t="s">
        <v>2566</v>
      </c>
      <c r="F325" t="s">
        <v>1399</v>
      </c>
      <c r="G325">
        <v>1998</v>
      </c>
      <c r="H325" t="s">
        <v>1561</v>
      </c>
      <c r="I325" t="s">
        <v>961</v>
      </c>
      <c r="J325" t="s">
        <v>961</v>
      </c>
      <c r="K325" t="s">
        <v>1562</v>
      </c>
      <c r="O325">
        <v>64.599999999999994</v>
      </c>
      <c r="P325">
        <v>7.54</v>
      </c>
      <c r="Q325">
        <v>11</v>
      </c>
      <c r="R325" s="716">
        <v>388</v>
      </c>
      <c r="S325" s="716">
        <v>127</v>
      </c>
      <c r="U325">
        <v>63.2</v>
      </c>
      <c r="V325">
        <v>16.899999999999999</v>
      </c>
      <c r="W325">
        <v>11</v>
      </c>
      <c r="AA325">
        <v>-1</v>
      </c>
      <c r="AB325">
        <v>0.08</v>
      </c>
      <c r="AD325">
        <v>1</v>
      </c>
      <c r="AF325">
        <v>8.83</v>
      </c>
      <c r="AG325">
        <v>1.7</v>
      </c>
      <c r="AI325">
        <v>8.8000000000000007</v>
      </c>
      <c r="AJ325">
        <v>1.7</v>
      </c>
    </row>
    <row r="326" spans="1:40" customFormat="1" ht="18" customHeight="1">
      <c r="A326">
        <v>320</v>
      </c>
      <c r="B326" t="s">
        <v>1353</v>
      </c>
      <c r="C326" t="s">
        <v>89</v>
      </c>
      <c r="D326" t="s">
        <v>89</v>
      </c>
      <c r="E326" t="s">
        <v>2566</v>
      </c>
      <c r="F326" t="s">
        <v>1399</v>
      </c>
      <c r="G326">
        <v>1998</v>
      </c>
      <c r="H326" t="s">
        <v>1561</v>
      </c>
      <c r="I326" t="s">
        <v>1419</v>
      </c>
      <c r="J326" t="s">
        <v>1419</v>
      </c>
      <c r="K326" t="s">
        <v>1563</v>
      </c>
      <c r="O326">
        <v>509</v>
      </c>
      <c r="P326">
        <v>72</v>
      </c>
      <c r="Q326">
        <v>11</v>
      </c>
      <c r="R326" s="716">
        <v>388</v>
      </c>
      <c r="S326" s="716">
        <v>127</v>
      </c>
      <c r="U326">
        <v>481</v>
      </c>
      <c r="V326">
        <v>14</v>
      </c>
      <c r="W326">
        <v>11</v>
      </c>
      <c r="AA326">
        <v>1</v>
      </c>
      <c r="AB326">
        <v>-1.91</v>
      </c>
      <c r="AD326">
        <v>1</v>
      </c>
      <c r="AF326">
        <v>8.83</v>
      </c>
      <c r="AG326">
        <v>1.7</v>
      </c>
      <c r="AI326">
        <v>8.8000000000000007</v>
      </c>
      <c r="AJ326">
        <v>1.7</v>
      </c>
    </row>
    <row r="327" spans="1:40" customFormat="1" ht="18" customHeight="1">
      <c r="A327">
        <v>321</v>
      </c>
      <c r="B327" t="s">
        <v>1353</v>
      </c>
      <c r="C327" t="s">
        <v>89</v>
      </c>
      <c r="D327" t="s">
        <v>89</v>
      </c>
      <c r="E327" t="s">
        <v>2566</v>
      </c>
      <c r="F327" t="s">
        <v>1399</v>
      </c>
      <c r="G327">
        <v>1998</v>
      </c>
      <c r="H327" t="s">
        <v>1561</v>
      </c>
      <c r="I327" t="s">
        <v>961</v>
      </c>
      <c r="J327" t="s">
        <v>961</v>
      </c>
      <c r="K327" t="s">
        <v>1343</v>
      </c>
      <c r="O327">
        <v>72.2</v>
      </c>
      <c r="P327">
        <v>7.17</v>
      </c>
      <c r="Q327">
        <v>11</v>
      </c>
      <c r="R327" s="716">
        <v>388</v>
      </c>
      <c r="S327" s="716">
        <v>127</v>
      </c>
      <c r="U327">
        <v>69.7</v>
      </c>
      <c r="V327">
        <v>10.5</v>
      </c>
      <c r="W327">
        <v>11</v>
      </c>
      <c r="AA327">
        <v>-1</v>
      </c>
      <c r="AB327">
        <v>0.23</v>
      </c>
      <c r="AD327">
        <v>1</v>
      </c>
      <c r="AF327">
        <v>8.83</v>
      </c>
      <c r="AG327">
        <v>1.7</v>
      </c>
      <c r="AI327">
        <v>8.8000000000000007</v>
      </c>
      <c r="AJ327">
        <v>1.7</v>
      </c>
    </row>
    <row r="328" spans="1:40" customFormat="1" ht="18" customHeight="1">
      <c r="A328">
        <v>322</v>
      </c>
      <c r="B328" t="s">
        <v>1353</v>
      </c>
      <c r="C328" t="s">
        <v>89</v>
      </c>
      <c r="D328" t="s">
        <v>89</v>
      </c>
      <c r="E328" t="s">
        <v>2566</v>
      </c>
      <c r="F328" t="s">
        <v>1399</v>
      </c>
      <c r="G328">
        <v>1998</v>
      </c>
      <c r="H328" t="s">
        <v>1561</v>
      </c>
      <c r="I328" t="s">
        <v>1419</v>
      </c>
      <c r="J328" t="s">
        <v>1419</v>
      </c>
      <c r="K328" t="s">
        <v>1343</v>
      </c>
      <c r="O328">
        <v>499</v>
      </c>
      <c r="P328">
        <v>81</v>
      </c>
      <c r="Q328">
        <v>11</v>
      </c>
      <c r="R328" s="716">
        <v>388</v>
      </c>
      <c r="S328" s="716">
        <v>127</v>
      </c>
      <c r="U328">
        <v>462</v>
      </c>
      <c r="V328">
        <v>92</v>
      </c>
      <c r="W328">
        <v>11</v>
      </c>
      <c r="AA328">
        <v>1</v>
      </c>
      <c r="AB328">
        <v>-0.39</v>
      </c>
      <c r="AD328">
        <v>1</v>
      </c>
      <c r="AF328">
        <v>8.83</v>
      </c>
      <c r="AG328">
        <v>1.7</v>
      </c>
      <c r="AI328">
        <v>8.8000000000000007</v>
      </c>
      <c r="AJ328">
        <v>1.7</v>
      </c>
    </row>
    <row r="329" spans="1:40" customFormat="1" ht="18" customHeight="1">
      <c r="A329">
        <v>323</v>
      </c>
      <c r="B329" t="s">
        <v>908</v>
      </c>
      <c r="C329" t="s">
        <v>89</v>
      </c>
      <c r="D329" t="s">
        <v>89</v>
      </c>
      <c r="E329" t="s">
        <v>2566</v>
      </c>
      <c r="F329" t="s">
        <v>2710</v>
      </c>
      <c r="G329">
        <v>2017</v>
      </c>
      <c r="H329" t="s">
        <v>1473</v>
      </c>
      <c r="K329" t="s">
        <v>2605</v>
      </c>
      <c r="O329">
        <v>48.2</v>
      </c>
      <c r="P329">
        <v>12.5</v>
      </c>
      <c r="Q329">
        <v>37</v>
      </c>
      <c r="R329" s="716">
        <v>720</v>
      </c>
      <c r="S329" s="716"/>
      <c r="U329">
        <v>39.299999999999997</v>
      </c>
      <c r="V329">
        <v>10.4</v>
      </c>
      <c r="W329">
        <v>30</v>
      </c>
      <c r="Y329">
        <v>-0.77</v>
      </c>
      <c r="AA329">
        <v>1</v>
      </c>
      <c r="AB329">
        <v>-0.85</v>
      </c>
      <c r="AD329">
        <v>1</v>
      </c>
      <c r="AK329">
        <v>1</v>
      </c>
      <c r="AL329" t="s">
        <v>48</v>
      </c>
      <c r="AM329" t="s">
        <v>32</v>
      </c>
      <c r="AN329" t="s">
        <v>41</v>
      </c>
    </row>
    <row r="330" spans="1:40" customFormat="1" ht="18" customHeight="1">
      <c r="A330">
        <v>324</v>
      </c>
      <c r="B330" t="s">
        <v>1353</v>
      </c>
      <c r="C330" t="s">
        <v>89</v>
      </c>
      <c r="D330" t="s">
        <v>89</v>
      </c>
      <c r="E330" t="s">
        <v>2566</v>
      </c>
      <c r="F330" t="s">
        <v>1398</v>
      </c>
      <c r="G330">
        <v>1995</v>
      </c>
      <c r="H330" t="s">
        <v>507</v>
      </c>
      <c r="O330">
        <v>10.199999999999999</v>
      </c>
      <c r="P330">
        <v>2.2000000000000002</v>
      </c>
      <c r="Q330">
        <v>20</v>
      </c>
      <c r="R330" s="716">
        <v>583</v>
      </c>
      <c r="S330" s="716">
        <v>377</v>
      </c>
      <c r="U330">
        <v>11</v>
      </c>
      <c r="V330">
        <v>2.8</v>
      </c>
      <c r="W330">
        <v>20</v>
      </c>
      <c r="AA330">
        <v>-1</v>
      </c>
      <c r="AB330">
        <v>-0.28000000000000003</v>
      </c>
      <c r="AD330">
        <v>1</v>
      </c>
      <c r="AF330">
        <v>10.9</v>
      </c>
      <c r="AG330">
        <v>1.3</v>
      </c>
      <c r="AI330">
        <v>11</v>
      </c>
      <c r="AJ330">
        <v>1.1000000000000001</v>
      </c>
    </row>
    <row r="331" spans="1:40" customFormat="1" ht="18" customHeight="1">
      <c r="A331">
        <v>325</v>
      </c>
      <c r="B331" t="s">
        <v>1353</v>
      </c>
      <c r="C331" t="s">
        <v>89</v>
      </c>
      <c r="D331" t="s">
        <v>89</v>
      </c>
      <c r="E331" t="s">
        <v>2566</v>
      </c>
      <c r="F331" t="s">
        <v>1500</v>
      </c>
      <c r="G331">
        <v>2020</v>
      </c>
      <c r="H331" t="s">
        <v>1437</v>
      </c>
      <c r="N331" t="s">
        <v>1436</v>
      </c>
      <c r="O331">
        <v>94</v>
      </c>
      <c r="P331">
        <v>14.25</v>
      </c>
      <c r="Q331">
        <v>15</v>
      </c>
      <c r="R331" s="716">
        <v>289</v>
      </c>
      <c r="S331" s="716">
        <v>83</v>
      </c>
      <c r="U331">
        <v>103</v>
      </c>
      <c r="V331">
        <v>12.75</v>
      </c>
      <c r="W331">
        <v>14</v>
      </c>
      <c r="AA331">
        <v>-1</v>
      </c>
      <c r="AB331">
        <v>-0.66</v>
      </c>
      <c r="AD331">
        <v>1</v>
      </c>
    </row>
    <row r="332" spans="1:40" customFormat="1" ht="18" customHeight="1">
      <c r="A332">
        <v>326</v>
      </c>
      <c r="B332" t="s">
        <v>908</v>
      </c>
      <c r="C332" t="s">
        <v>89</v>
      </c>
      <c r="D332" t="s">
        <v>89</v>
      </c>
      <c r="E332" t="s">
        <v>2566</v>
      </c>
      <c r="F332" t="s">
        <v>37</v>
      </c>
      <c r="G332">
        <v>2007</v>
      </c>
      <c r="H332" t="s">
        <v>96</v>
      </c>
      <c r="K332" t="s">
        <v>97</v>
      </c>
      <c r="O332">
        <v>106</v>
      </c>
      <c r="P332">
        <v>5.4</v>
      </c>
      <c r="Q332">
        <v>12</v>
      </c>
      <c r="R332" s="716" t="s">
        <v>24</v>
      </c>
      <c r="S332" s="716"/>
      <c r="U332">
        <v>105</v>
      </c>
      <c r="V332">
        <v>5.2</v>
      </c>
      <c r="W332">
        <v>12</v>
      </c>
      <c r="Y332">
        <v>-0.19</v>
      </c>
      <c r="AA332">
        <v>-1</v>
      </c>
      <c r="AB332">
        <v>0.19</v>
      </c>
      <c r="AD332">
        <v>1</v>
      </c>
      <c r="AK332">
        <v>1</v>
      </c>
      <c r="AL332" t="s">
        <v>48</v>
      </c>
      <c r="AM332" t="s">
        <v>98</v>
      </c>
      <c r="AN332" t="s">
        <v>41</v>
      </c>
    </row>
    <row r="333" spans="1:40" customFormat="1" ht="18" customHeight="1">
      <c r="A333">
        <v>327</v>
      </c>
      <c r="B333" t="s">
        <v>908</v>
      </c>
      <c r="C333" t="s">
        <v>79</v>
      </c>
      <c r="D333" t="s">
        <v>79</v>
      </c>
      <c r="F333" t="s">
        <v>2710</v>
      </c>
      <c r="G333">
        <v>2018</v>
      </c>
      <c r="H333" t="s">
        <v>2637</v>
      </c>
      <c r="I333" t="s">
        <v>961</v>
      </c>
      <c r="J333" t="s">
        <v>961</v>
      </c>
      <c r="K333" t="s">
        <v>2582</v>
      </c>
      <c r="O333">
        <v>2</v>
      </c>
      <c r="P333">
        <v>1.3</v>
      </c>
      <c r="Q333">
        <v>22</v>
      </c>
      <c r="R333" s="716">
        <v>751</v>
      </c>
      <c r="S333" s="716"/>
      <c r="U333">
        <v>2.2000000000000002</v>
      </c>
      <c r="V333">
        <v>1.6</v>
      </c>
      <c r="W333">
        <v>25</v>
      </c>
      <c r="Y333">
        <v>0.14000000000000001</v>
      </c>
      <c r="AA333">
        <v>1</v>
      </c>
      <c r="AB333">
        <v>0.12</v>
      </c>
      <c r="AD333">
        <v>1</v>
      </c>
      <c r="AK333">
        <v>1</v>
      </c>
      <c r="AL333" t="s">
        <v>48</v>
      </c>
      <c r="AM333" t="s">
        <v>32</v>
      </c>
      <c r="AN333" t="s">
        <v>41</v>
      </c>
    </row>
    <row r="334" spans="1:40" customFormat="1" ht="18" customHeight="1">
      <c r="A334">
        <v>328</v>
      </c>
      <c r="B334" t="s">
        <v>908</v>
      </c>
      <c r="C334" t="s">
        <v>79</v>
      </c>
      <c r="D334" t="s">
        <v>79</v>
      </c>
      <c r="F334" t="s">
        <v>2710</v>
      </c>
      <c r="G334">
        <v>2018</v>
      </c>
      <c r="H334" t="s">
        <v>2637</v>
      </c>
      <c r="I334" t="s">
        <v>1419</v>
      </c>
      <c r="J334" t="s">
        <v>1419</v>
      </c>
      <c r="K334" t="s">
        <v>85</v>
      </c>
      <c r="O334">
        <v>91.6</v>
      </c>
      <c r="P334">
        <v>44</v>
      </c>
      <c r="Q334">
        <v>22</v>
      </c>
      <c r="R334" s="716">
        <v>751</v>
      </c>
      <c r="S334" s="716"/>
      <c r="U334">
        <v>76.900000000000006</v>
      </c>
      <c r="V334">
        <v>23</v>
      </c>
      <c r="W334">
        <v>25</v>
      </c>
      <c r="Y334">
        <v>-0.42</v>
      </c>
      <c r="AA334">
        <v>1</v>
      </c>
      <c r="AB334">
        <v>-0.63</v>
      </c>
      <c r="AD334">
        <v>1</v>
      </c>
      <c r="AK334">
        <v>1</v>
      </c>
      <c r="AL334" t="s">
        <v>48</v>
      </c>
      <c r="AM334" t="s">
        <v>32</v>
      </c>
      <c r="AN334" t="s">
        <v>41</v>
      </c>
    </row>
    <row r="335" spans="1:40" customFormat="1" ht="18" customHeight="1">
      <c r="A335">
        <v>329</v>
      </c>
      <c r="B335" t="s">
        <v>908</v>
      </c>
      <c r="C335" t="s">
        <v>79</v>
      </c>
      <c r="D335" t="s">
        <v>79</v>
      </c>
      <c r="F335" t="s">
        <v>2710</v>
      </c>
      <c r="G335">
        <v>2018</v>
      </c>
      <c r="H335" t="s">
        <v>2635</v>
      </c>
      <c r="K335" t="s">
        <v>2583</v>
      </c>
      <c r="O335">
        <v>1.1000000000000001</v>
      </c>
      <c r="P335">
        <v>1.2</v>
      </c>
      <c r="Q335">
        <v>22</v>
      </c>
      <c r="R335" s="716">
        <v>751</v>
      </c>
      <c r="S335" s="716"/>
      <c r="U335">
        <v>1.4</v>
      </c>
      <c r="V335">
        <v>1.9</v>
      </c>
      <c r="W335">
        <v>25</v>
      </c>
      <c r="Y335">
        <v>0.19</v>
      </c>
      <c r="AA335">
        <v>1</v>
      </c>
      <c r="AB335">
        <v>0.16</v>
      </c>
      <c r="AD335">
        <v>1</v>
      </c>
      <c r="AK335">
        <v>1</v>
      </c>
      <c r="AL335" t="s">
        <v>48</v>
      </c>
      <c r="AM335" t="s">
        <v>32</v>
      </c>
      <c r="AN335" t="s">
        <v>41</v>
      </c>
    </row>
    <row r="336" spans="1:40" customFormat="1" ht="18" customHeight="1">
      <c r="A336">
        <v>330</v>
      </c>
      <c r="B336" t="s">
        <v>908</v>
      </c>
      <c r="C336" t="s">
        <v>79</v>
      </c>
      <c r="D336" t="s">
        <v>79</v>
      </c>
      <c r="F336" t="s">
        <v>2710</v>
      </c>
      <c r="G336">
        <v>2018</v>
      </c>
      <c r="H336" t="s">
        <v>2635</v>
      </c>
      <c r="K336" t="s">
        <v>2584</v>
      </c>
      <c r="O336">
        <v>0.6</v>
      </c>
      <c r="P336">
        <v>1.1000000000000001</v>
      </c>
      <c r="Q336">
        <v>22</v>
      </c>
      <c r="R336" s="716">
        <v>751</v>
      </c>
      <c r="S336" s="716"/>
      <c r="U336">
        <v>0.3</v>
      </c>
      <c r="V336">
        <v>0.5</v>
      </c>
      <c r="W336">
        <v>25</v>
      </c>
      <c r="Y336">
        <v>-0.35</v>
      </c>
      <c r="AA336">
        <v>1</v>
      </c>
      <c r="AB336">
        <v>-0.59</v>
      </c>
      <c r="AD336">
        <v>1</v>
      </c>
      <c r="AK336">
        <v>1</v>
      </c>
      <c r="AL336" t="s">
        <v>48</v>
      </c>
      <c r="AM336" t="s">
        <v>32</v>
      </c>
      <c r="AN336" t="s">
        <v>41</v>
      </c>
    </row>
    <row r="337" spans="1:40" customFormat="1" ht="18" customHeight="1">
      <c r="A337">
        <v>331</v>
      </c>
      <c r="B337" t="s">
        <v>908</v>
      </c>
      <c r="C337" t="s">
        <v>79</v>
      </c>
      <c r="D337" t="s">
        <v>79</v>
      </c>
      <c r="F337" t="s">
        <v>2710</v>
      </c>
      <c r="G337">
        <v>2018</v>
      </c>
      <c r="H337" t="s">
        <v>2502</v>
      </c>
      <c r="I337" t="s">
        <v>961</v>
      </c>
      <c r="J337" t="s">
        <v>961</v>
      </c>
      <c r="K337" t="s">
        <v>2586</v>
      </c>
      <c r="O337">
        <v>1.3</v>
      </c>
      <c r="P337">
        <v>1.2</v>
      </c>
      <c r="Q337">
        <v>22</v>
      </c>
      <c r="R337" s="716">
        <v>751</v>
      </c>
      <c r="S337" s="716"/>
      <c r="U337">
        <v>1.2</v>
      </c>
      <c r="V337">
        <v>1.2</v>
      </c>
      <c r="W337">
        <v>25</v>
      </c>
      <c r="Y337">
        <v>-0.08</v>
      </c>
      <c r="AA337">
        <v>1</v>
      </c>
      <c r="AB337">
        <v>-0.08</v>
      </c>
      <c r="AD337">
        <v>1</v>
      </c>
      <c r="AK337">
        <v>1</v>
      </c>
      <c r="AL337" t="s">
        <v>48</v>
      </c>
      <c r="AM337" t="s">
        <v>32</v>
      </c>
      <c r="AN337" t="s">
        <v>41</v>
      </c>
    </row>
    <row r="338" spans="1:40" customFormat="1" ht="18" customHeight="1">
      <c r="A338">
        <v>332</v>
      </c>
      <c r="B338" t="s">
        <v>908</v>
      </c>
      <c r="C338" t="s">
        <v>79</v>
      </c>
      <c r="D338" t="s">
        <v>79</v>
      </c>
      <c r="F338" t="s">
        <v>2710</v>
      </c>
      <c r="G338">
        <v>2018</v>
      </c>
      <c r="H338" t="s">
        <v>2503</v>
      </c>
      <c r="I338" t="s">
        <v>1419</v>
      </c>
      <c r="J338" t="s">
        <v>1419</v>
      </c>
      <c r="K338" t="s">
        <v>86</v>
      </c>
      <c r="O338">
        <v>157.9</v>
      </c>
      <c r="P338">
        <v>54.6</v>
      </c>
      <c r="Q338">
        <v>22</v>
      </c>
      <c r="R338" s="716">
        <v>751</v>
      </c>
      <c r="S338" s="716"/>
      <c r="U338">
        <v>119.2</v>
      </c>
      <c r="V338">
        <v>40</v>
      </c>
      <c r="W338">
        <v>25</v>
      </c>
      <c r="Y338">
        <v>-0.81</v>
      </c>
      <c r="AA338">
        <v>1</v>
      </c>
      <c r="AB338">
        <v>-0.95</v>
      </c>
      <c r="AD338">
        <v>1</v>
      </c>
      <c r="AK338">
        <v>1</v>
      </c>
      <c r="AL338" t="s">
        <v>48</v>
      </c>
      <c r="AM338" t="s">
        <v>32</v>
      </c>
      <c r="AN338" t="s">
        <v>41</v>
      </c>
    </row>
    <row r="339" spans="1:40" customFormat="1" ht="18" customHeight="1">
      <c r="A339">
        <v>333</v>
      </c>
      <c r="B339" t="s">
        <v>908</v>
      </c>
      <c r="C339" t="s">
        <v>79</v>
      </c>
      <c r="D339" t="s">
        <v>79</v>
      </c>
      <c r="F339" t="s">
        <v>2710</v>
      </c>
      <c r="G339">
        <v>2018</v>
      </c>
      <c r="H339" t="s">
        <v>2504</v>
      </c>
      <c r="I339" t="s">
        <v>961</v>
      </c>
      <c r="J339" t="s">
        <v>961</v>
      </c>
      <c r="K339" t="s">
        <v>2587</v>
      </c>
      <c r="O339">
        <v>1.1000000000000001</v>
      </c>
      <c r="P339">
        <v>1.7</v>
      </c>
      <c r="Q339">
        <v>22</v>
      </c>
      <c r="R339" s="716">
        <v>751</v>
      </c>
      <c r="S339" s="716"/>
      <c r="U339">
        <v>2.2999999999999998</v>
      </c>
      <c r="V339">
        <v>3.1</v>
      </c>
      <c r="W339">
        <v>25</v>
      </c>
      <c r="Y339">
        <v>0.48</v>
      </c>
      <c r="AA339">
        <v>1</v>
      </c>
      <c r="AB339">
        <v>0.38</v>
      </c>
      <c r="AD339">
        <v>1</v>
      </c>
      <c r="AK339">
        <v>1</v>
      </c>
      <c r="AL339" t="s">
        <v>48</v>
      </c>
      <c r="AM339" t="s">
        <v>32</v>
      </c>
      <c r="AN339" t="s">
        <v>41</v>
      </c>
    </row>
    <row r="340" spans="1:40" customFormat="1" ht="18" customHeight="1">
      <c r="A340">
        <v>334</v>
      </c>
      <c r="B340" t="s">
        <v>908</v>
      </c>
      <c r="C340" t="s">
        <v>79</v>
      </c>
      <c r="D340" t="s">
        <v>79</v>
      </c>
      <c r="F340" t="s">
        <v>2710</v>
      </c>
      <c r="G340">
        <v>2018</v>
      </c>
      <c r="H340" t="s">
        <v>2505</v>
      </c>
      <c r="I340" t="s">
        <v>1419</v>
      </c>
      <c r="J340" t="s">
        <v>1419</v>
      </c>
      <c r="K340" t="s">
        <v>84</v>
      </c>
      <c r="O340">
        <v>58.9</v>
      </c>
      <c r="P340">
        <v>34.299999999999997</v>
      </c>
      <c r="Q340">
        <v>22</v>
      </c>
      <c r="R340" s="716">
        <v>751</v>
      </c>
      <c r="S340" s="716"/>
      <c r="U340">
        <v>41</v>
      </c>
      <c r="V340">
        <v>13</v>
      </c>
      <c r="W340">
        <v>25</v>
      </c>
      <c r="Y340">
        <v>-0.69</v>
      </c>
      <c r="AA340">
        <v>1</v>
      </c>
      <c r="AB340">
        <v>-1.35</v>
      </c>
      <c r="AD340">
        <v>1</v>
      </c>
      <c r="AK340">
        <v>1</v>
      </c>
      <c r="AL340" t="s">
        <v>48</v>
      </c>
      <c r="AM340" t="s">
        <v>32</v>
      </c>
      <c r="AN340" t="s">
        <v>41</v>
      </c>
    </row>
    <row r="341" spans="1:40" customFormat="1" ht="18" customHeight="1">
      <c r="A341">
        <v>335</v>
      </c>
      <c r="B341" t="s">
        <v>908</v>
      </c>
      <c r="C341" t="s">
        <v>79</v>
      </c>
      <c r="D341" t="s">
        <v>79</v>
      </c>
      <c r="F341" t="s">
        <v>2710</v>
      </c>
      <c r="G341">
        <v>2018</v>
      </c>
      <c r="H341" t="s">
        <v>2506</v>
      </c>
      <c r="K341" t="s">
        <v>2588</v>
      </c>
      <c r="O341">
        <v>0.2</v>
      </c>
      <c r="P341">
        <v>0.5</v>
      </c>
      <c r="Q341">
        <v>22</v>
      </c>
      <c r="R341" s="716">
        <v>751</v>
      </c>
      <c r="S341" s="716"/>
      <c r="U341">
        <v>0.4</v>
      </c>
      <c r="V341">
        <v>0.8</v>
      </c>
      <c r="W341">
        <v>25</v>
      </c>
      <c r="Y341">
        <v>0.3</v>
      </c>
      <c r="AA341">
        <v>1</v>
      </c>
      <c r="AB341">
        <v>0.25</v>
      </c>
      <c r="AD341">
        <v>1</v>
      </c>
      <c r="AK341">
        <v>1</v>
      </c>
      <c r="AL341" t="s">
        <v>48</v>
      </c>
      <c r="AM341" t="s">
        <v>32</v>
      </c>
      <c r="AN341" t="s">
        <v>41</v>
      </c>
    </row>
    <row r="342" spans="1:40" customFormat="1" ht="18" customHeight="1">
      <c r="A342">
        <v>336</v>
      </c>
      <c r="B342" t="s">
        <v>908</v>
      </c>
      <c r="C342" t="s">
        <v>79</v>
      </c>
      <c r="D342" t="s">
        <v>79</v>
      </c>
      <c r="F342" t="s">
        <v>2710</v>
      </c>
      <c r="G342">
        <v>2018</v>
      </c>
      <c r="H342" t="s">
        <v>2507</v>
      </c>
      <c r="K342" t="s">
        <v>83</v>
      </c>
      <c r="O342">
        <v>87.7</v>
      </c>
      <c r="P342">
        <v>7.8</v>
      </c>
      <c r="Q342">
        <v>33</v>
      </c>
      <c r="R342" s="716">
        <v>751</v>
      </c>
      <c r="S342" s="716"/>
      <c r="U342">
        <v>91.7</v>
      </c>
      <c r="V342">
        <v>4.5999999999999996</v>
      </c>
      <c r="W342">
        <v>32</v>
      </c>
      <c r="Y342">
        <v>0.62</v>
      </c>
      <c r="AA342">
        <v>-1</v>
      </c>
      <c r="AB342">
        <v>-0.86</v>
      </c>
      <c r="AD342">
        <v>1</v>
      </c>
      <c r="AK342">
        <v>1</v>
      </c>
      <c r="AL342" t="s">
        <v>48</v>
      </c>
      <c r="AM342" t="s">
        <v>32</v>
      </c>
      <c r="AN342" t="s">
        <v>41</v>
      </c>
    </row>
    <row r="343" spans="1:40" customFormat="1" ht="18" customHeight="1">
      <c r="A343">
        <v>337</v>
      </c>
      <c r="B343" t="s">
        <v>908</v>
      </c>
      <c r="C343" t="s">
        <v>79</v>
      </c>
      <c r="D343" t="s">
        <v>79</v>
      </c>
      <c r="F343" t="s">
        <v>2710</v>
      </c>
      <c r="G343">
        <v>2018</v>
      </c>
      <c r="H343" t="s">
        <v>2508</v>
      </c>
      <c r="K343" t="s">
        <v>82</v>
      </c>
      <c r="O343">
        <v>81.099999999999994</v>
      </c>
      <c r="P343">
        <v>21.2</v>
      </c>
      <c r="Q343">
        <v>33</v>
      </c>
      <c r="R343" s="716">
        <v>751</v>
      </c>
      <c r="S343" s="716"/>
      <c r="U343">
        <v>86.7</v>
      </c>
      <c r="V343">
        <v>10.9</v>
      </c>
      <c r="W343">
        <v>32</v>
      </c>
      <c r="Y343">
        <v>0.33</v>
      </c>
      <c r="AA343">
        <v>-1</v>
      </c>
      <c r="AB343">
        <v>-0.51</v>
      </c>
      <c r="AD343">
        <v>1</v>
      </c>
      <c r="AK343">
        <v>1</v>
      </c>
      <c r="AL343" t="s">
        <v>48</v>
      </c>
      <c r="AM343" t="s">
        <v>32</v>
      </c>
      <c r="AN343" t="s">
        <v>41</v>
      </c>
    </row>
    <row r="344" spans="1:40" customFormat="1" ht="18" customHeight="1">
      <c r="A344">
        <v>338</v>
      </c>
      <c r="B344" t="s">
        <v>908</v>
      </c>
      <c r="C344" t="s">
        <v>79</v>
      </c>
      <c r="D344" t="s">
        <v>79</v>
      </c>
      <c r="F344" t="s">
        <v>2710</v>
      </c>
      <c r="G344">
        <v>2018</v>
      </c>
      <c r="H344" t="s">
        <v>2509</v>
      </c>
      <c r="K344" t="s">
        <v>81</v>
      </c>
      <c r="O344">
        <v>13.2</v>
      </c>
      <c r="P344">
        <v>2.5</v>
      </c>
      <c r="Q344">
        <v>33</v>
      </c>
      <c r="R344" s="716">
        <v>751</v>
      </c>
      <c r="S344" s="716"/>
      <c r="U344">
        <v>14.2</v>
      </c>
      <c r="V344">
        <v>3</v>
      </c>
      <c r="W344">
        <v>32</v>
      </c>
      <c r="Y344">
        <v>0.36</v>
      </c>
      <c r="AA344">
        <v>-1</v>
      </c>
      <c r="AB344">
        <v>-0.33</v>
      </c>
      <c r="AD344">
        <v>1</v>
      </c>
      <c r="AK344">
        <v>1</v>
      </c>
      <c r="AL344" t="s">
        <v>48</v>
      </c>
      <c r="AM344" t="s">
        <v>32</v>
      </c>
      <c r="AN344" t="s">
        <v>41</v>
      </c>
    </row>
    <row r="345" spans="1:40" customFormat="1" ht="18" customHeight="1">
      <c r="A345">
        <v>339</v>
      </c>
      <c r="B345" t="s">
        <v>908</v>
      </c>
      <c r="C345" t="s">
        <v>79</v>
      </c>
      <c r="D345" t="s">
        <v>79</v>
      </c>
      <c r="F345" t="s">
        <v>2710</v>
      </c>
      <c r="G345">
        <v>2018</v>
      </c>
      <c r="H345" t="s">
        <v>2510</v>
      </c>
      <c r="K345" t="s">
        <v>80</v>
      </c>
      <c r="O345">
        <v>2.2000000000000002</v>
      </c>
      <c r="P345">
        <v>0.4</v>
      </c>
      <c r="Q345">
        <v>33</v>
      </c>
      <c r="R345" s="716">
        <v>751</v>
      </c>
      <c r="S345" s="716"/>
      <c r="U345">
        <v>2.4</v>
      </c>
      <c r="V345">
        <v>0.4</v>
      </c>
      <c r="W345">
        <v>32</v>
      </c>
      <c r="Y345">
        <v>0.5</v>
      </c>
      <c r="AA345">
        <v>-1</v>
      </c>
      <c r="AB345">
        <v>-0.49</v>
      </c>
      <c r="AD345">
        <v>1</v>
      </c>
      <c r="AK345">
        <v>1</v>
      </c>
      <c r="AL345" t="s">
        <v>48</v>
      </c>
      <c r="AM345" t="s">
        <v>32</v>
      </c>
      <c r="AN345" t="s">
        <v>41</v>
      </c>
    </row>
    <row r="346" spans="1:40" customFormat="1" ht="18" customHeight="1">
      <c r="A346">
        <v>340</v>
      </c>
      <c r="B346" t="s">
        <v>908</v>
      </c>
      <c r="C346" t="s">
        <v>79</v>
      </c>
      <c r="D346" t="s">
        <v>79</v>
      </c>
      <c r="F346" t="s">
        <v>2710</v>
      </c>
      <c r="G346">
        <v>2017</v>
      </c>
      <c r="H346" t="s">
        <v>2511</v>
      </c>
      <c r="K346" t="s">
        <v>88</v>
      </c>
      <c r="O346">
        <v>36</v>
      </c>
      <c r="P346">
        <v>5.8</v>
      </c>
      <c r="Q346">
        <v>37</v>
      </c>
      <c r="R346" s="716">
        <v>720</v>
      </c>
      <c r="S346" s="716"/>
      <c r="U346">
        <v>39.200000000000003</v>
      </c>
      <c r="V346">
        <v>3.6</v>
      </c>
      <c r="W346">
        <v>30</v>
      </c>
      <c r="Y346">
        <v>0.66</v>
      </c>
      <c r="AA346">
        <v>-1</v>
      </c>
      <c r="AB346">
        <v>-0.88</v>
      </c>
      <c r="AD346">
        <v>1</v>
      </c>
      <c r="AK346">
        <v>1</v>
      </c>
      <c r="AL346" t="s">
        <v>48</v>
      </c>
      <c r="AM346" t="s">
        <v>32</v>
      </c>
      <c r="AN346" t="s">
        <v>41</v>
      </c>
    </row>
    <row r="347" spans="1:40" customFormat="1" ht="18" customHeight="1">
      <c r="A347">
        <v>341</v>
      </c>
      <c r="B347" t="s">
        <v>908</v>
      </c>
      <c r="C347" t="s">
        <v>79</v>
      </c>
      <c r="D347" t="s">
        <v>79</v>
      </c>
      <c r="F347" t="s">
        <v>2710</v>
      </c>
      <c r="G347">
        <v>2017</v>
      </c>
      <c r="H347" t="s">
        <v>2512</v>
      </c>
      <c r="K347" t="s">
        <v>87</v>
      </c>
      <c r="O347">
        <v>58.4</v>
      </c>
      <c r="P347">
        <v>8.6999999999999993</v>
      </c>
      <c r="Q347">
        <v>37</v>
      </c>
      <c r="R347" s="716">
        <v>720</v>
      </c>
      <c r="S347" s="716"/>
      <c r="U347">
        <v>64.2</v>
      </c>
      <c r="V347">
        <v>7.2</v>
      </c>
      <c r="W347">
        <v>30</v>
      </c>
      <c r="Y347">
        <v>0.73</v>
      </c>
      <c r="AA347">
        <v>-1</v>
      </c>
      <c r="AB347">
        <v>-0.8</v>
      </c>
      <c r="AD347">
        <v>1</v>
      </c>
      <c r="AE347">
        <v>-0.41399999999999998</v>
      </c>
      <c r="AK347">
        <v>1</v>
      </c>
      <c r="AL347" t="s">
        <v>48</v>
      </c>
      <c r="AM347" t="s">
        <v>32</v>
      </c>
      <c r="AN347" t="s">
        <v>41</v>
      </c>
    </row>
    <row r="348" spans="1:40" customFormat="1" ht="18" customHeight="1">
      <c r="A348">
        <v>342</v>
      </c>
      <c r="B348" t="s">
        <v>908</v>
      </c>
      <c r="C348" t="s">
        <v>79</v>
      </c>
      <c r="D348" t="s">
        <v>79</v>
      </c>
      <c r="F348" t="s">
        <v>2478</v>
      </c>
      <c r="G348">
        <v>2023</v>
      </c>
      <c r="H348" t="s">
        <v>1727</v>
      </c>
      <c r="K348" t="s">
        <v>1728</v>
      </c>
      <c r="O348">
        <v>20.8</v>
      </c>
      <c r="P348">
        <v>5.23</v>
      </c>
      <c r="Q348">
        <v>20</v>
      </c>
      <c r="R348" s="716">
        <v>586</v>
      </c>
      <c r="S348" s="716">
        <v>420</v>
      </c>
      <c r="U348">
        <v>24</v>
      </c>
      <c r="V348">
        <v>5.72</v>
      </c>
      <c r="W348">
        <v>20</v>
      </c>
      <c r="X348" t="s">
        <v>1149</v>
      </c>
      <c r="AA348">
        <v>-1</v>
      </c>
      <c r="AB348">
        <v>-0.55000000000000004</v>
      </c>
      <c r="AD348">
        <v>0</v>
      </c>
      <c r="AF348" t="s">
        <v>1149</v>
      </c>
    </row>
    <row r="349" spans="1:40" customFormat="1" ht="18" customHeight="1">
      <c r="A349">
        <v>343</v>
      </c>
      <c r="B349" t="s">
        <v>908</v>
      </c>
      <c r="C349" t="s">
        <v>79</v>
      </c>
      <c r="D349" t="s">
        <v>79</v>
      </c>
      <c r="F349" t="s">
        <v>2478</v>
      </c>
      <c r="G349">
        <v>2023</v>
      </c>
      <c r="H349" t="s">
        <v>754</v>
      </c>
      <c r="K349" t="s">
        <v>1728</v>
      </c>
      <c r="O349">
        <v>33.700000000000003</v>
      </c>
      <c r="P349">
        <v>10.63</v>
      </c>
      <c r="Q349">
        <v>20</v>
      </c>
      <c r="R349" s="716">
        <v>586</v>
      </c>
      <c r="S349" s="716">
        <v>420</v>
      </c>
      <c r="U349">
        <v>37.799999999999997</v>
      </c>
      <c r="V349">
        <v>7.55</v>
      </c>
      <c r="W349">
        <v>20</v>
      </c>
      <c r="X349" t="s">
        <v>1149</v>
      </c>
      <c r="AA349">
        <v>-1</v>
      </c>
      <c r="AB349">
        <v>-0.54</v>
      </c>
      <c r="AD349">
        <v>0</v>
      </c>
      <c r="AF349" t="s">
        <v>1149</v>
      </c>
    </row>
    <row r="350" spans="1:40" customFormat="1" ht="18" customHeight="1">
      <c r="A350">
        <v>344</v>
      </c>
      <c r="B350" t="s">
        <v>1353</v>
      </c>
      <c r="C350" t="s">
        <v>1169</v>
      </c>
      <c r="D350" t="s">
        <v>1169</v>
      </c>
      <c r="E350" t="s">
        <v>2567</v>
      </c>
      <c r="F350" t="s">
        <v>2076</v>
      </c>
      <c r="G350">
        <v>2000</v>
      </c>
      <c r="H350" t="s">
        <v>2078</v>
      </c>
      <c r="O350">
        <v>113.6</v>
      </c>
      <c r="P350">
        <v>11.85</v>
      </c>
      <c r="Q350">
        <v>9</v>
      </c>
      <c r="R350" s="716">
        <v>855</v>
      </c>
      <c r="S350" s="716"/>
      <c r="U350">
        <v>115.5</v>
      </c>
      <c r="V350">
        <v>16.07</v>
      </c>
      <c r="W350">
        <v>12</v>
      </c>
      <c r="AA350">
        <v>-1</v>
      </c>
      <c r="AB350">
        <v>-0.11</v>
      </c>
      <c r="AD350">
        <v>1</v>
      </c>
      <c r="AF350">
        <v>10.58</v>
      </c>
      <c r="AG350">
        <v>2.76</v>
      </c>
      <c r="AI350">
        <v>10.7</v>
      </c>
      <c r="AJ350">
        <v>2.2000000000000002</v>
      </c>
      <c r="AL350" t="s">
        <v>67</v>
      </c>
    </row>
    <row r="351" spans="1:40" customFormat="1" ht="18" customHeight="1">
      <c r="A351">
        <v>345</v>
      </c>
      <c r="B351" t="s">
        <v>1353</v>
      </c>
      <c r="C351" t="s">
        <v>1169</v>
      </c>
      <c r="D351" t="s">
        <v>1169</v>
      </c>
      <c r="E351" t="s">
        <v>2567</v>
      </c>
      <c r="F351" t="s">
        <v>1392</v>
      </c>
      <c r="G351">
        <v>2018</v>
      </c>
      <c r="H351" t="s">
        <v>2572</v>
      </c>
      <c r="K351" t="s">
        <v>1263</v>
      </c>
      <c r="O351">
        <v>9.4</v>
      </c>
      <c r="P351">
        <v>1</v>
      </c>
      <c r="Q351">
        <v>11</v>
      </c>
      <c r="R351" s="716">
        <v>743</v>
      </c>
      <c r="S351" s="716">
        <v>84</v>
      </c>
      <c r="U351">
        <v>9.4</v>
      </c>
      <c r="V351">
        <v>0.7</v>
      </c>
      <c r="W351">
        <v>28</v>
      </c>
      <c r="AA351">
        <v>-1</v>
      </c>
      <c r="AB351">
        <v>0</v>
      </c>
      <c r="AD351">
        <v>1</v>
      </c>
      <c r="AF351">
        <v>13</v>
      </c>
      <c r="AG351">
        <v>2.5</v>
      </c>
      <c r="AI351">
        <v>11.8</v>
      </c>
      <c r="AJ351">
        <v>2.5</v>
      </c>
    </row>
    <row r="352" spans="1:40" customFormat="1" ht="18" customHeight="1">
      <c r="A352">
        <v>346</v>
      </c>
      <c r="B352" t="s">
        <v>908</v>
      </c>
      <c r="C352" t="s">
        <v>1169</v>
      </c>
      <c r="D352" t="s">
        <v>1169</v>
      </c>
      <c r="E352" t="s">
        <v>2567</v>
      </c>
      <c r="F352" t="s">
        <v>2710</v>
      </c>
      <c r="G352">
        <v>2018</v>
      </c>
      <c r="H352" t="s">
        <v>2634</v>
      </c>
      <c r="I352" t="s">
        <v>961</v>
      </c>
      <c r="J352" t="s">
        <v>961</v>
      </c>
      <c r="K352" t="s">
        <v>2678</v>
      </c>
      <c r="L352" t="s">
        <v>2677</v>
      </c>
      <c r="O352">
        <v>12.8</v>
      </c>
      <c r="P352">
        <v>9.5</v>
      </c>
      <c r="Q352">
        <v>15</v>
      </c>
      <c r="R352" s="716">
        <v>751</v>
      </c>
      <c r="S352" s="716"/>
      <c r="U352">
        <v>10.7</v>
      </c>
      <c r="V352">
        <v>7.1</v>
      </c>
      <c r="W352">
        <v>24</v>
      </c>
      <c r="Y352">
        <v>-0.25</v>
      </c>
      <c r="AA352">
        <v>1</v>
      </c>
      <c r="AB352">
        <v>-0.28999999999999998</v>
      </c>
      <c r="AD352">
        <v>1</v>
      </c>
      <c r="AK352">
        <v>1</v>
      </c>
      <c r="AL352" t="s">
        <v>48</v>
      </c>
      <c r="AM352" t="s">
        <v>32</v>
      </c>
      <c r="AN352" t="s">
        <v>41</v>
      </c>
    </row>
    <row r="353" spans="1:40" customFormat="1" ht="18" customHeight="1">
      <c r="A353">
        <v>347</v>
      </c>
      <c r="B353" t="s">
        <v>908</v>
      </c>
      <c r="C353" t="s">
        <v>1169</v>
      </c>
      <c r="D353" t="s">
        <v>1169</v>
      </c>
      <c r="E353" t="s">
        <v>2567</v>
      </c>
      <c r="F353" t="s">
        <v>2710</v>
      </c>
      <c r="G353">
        <v>2018</v>
      </c>
      <c r="H353" t="s">
        <v>2514</v>
      </c>
      <c r="K353" t="s">
        <v>163</v>
      </c>
      <c r="O353">
        <v>2.1</v>
      </c>
      <c r="P353">
        <v>1.4</v>
      </c>
      <c r="Q353">
        <v>33</v>
      </c>
      <c r="R353" s="716">
        <v>751</v>
      </c>
      <c r="S353" s="716"/>
      <c r="U353">
        <v>1.8</v>
      </c>
      <c r="V353">
        <v>1.7</v>
      </c>
      <c r="W353">
        <v>32</v>
      </c>
      <c r="Y353">
        <v>-0.19</v>
      </c>
      <c r="AA353">
        <v>1</v>
      </c>
      <c r="AB353">
        <v>-0.17</v>
      </c>
      <c r="AD353">
        <v>1</v>
      </c>
      <c r="AK353">
        <v>1</v>
      </c>
      <c r="AL353" t="s">
        <v>48</v>
      </c>
      <c r="AM353" t="s">
        <v>32</v>
      </c>
      <c r="AN353" t="s">
        <v>41</v>
      </c>
    </row>
    <row r="354" spans="1:40" customFormat="1" ht="18" customHeight="1">
      <c r="A354">
        <v>348</v>
      </c>
      <c r="B354" t="s">
        <v>1353</v>
      </c>
      <c r="C354" t="s">
        <v>1169</v>
      </c>
      <c r="D354" t="s">
        <v>1169</v>
      </c>
      <c r="E354" t="s">
        <v>2567</v>
      </c>
      <c r="F354" t="s">
        <v>1399</v>
      </c>
      <c r="G354">
        <v>1998</v>
      </c>
      <c r="H354" t="s">
        <v>1342</v>
      </c>
      <c r="O354">
        <v>104.6</v>
      </c>
      <c r="P354">
        <v>14.62</v>
      </c>
      <c r="Q354">
        <v>11</v>
      </c>
      <c r="R354" s="716">
        <v>388</v>
      </c>
      <c r="S354" s="716">
        <v>127</v>
      </c>
      <c r="U354">
        <v>101.5</v>
      </c>
      <c r="V354">
        <v>15.4</v>
      </c>
      <c r="W354">
        <v>11</v>
      </c>
      <c r="AA354">
        <v>-1</v>
      </c>
      <c r="AB354">
        <v>0.2</v>
      </c>
      <c r="AD354">
        <v>1</v>
      </c>
      <c r="AF354">
        <v>8.83</v>
      </c>
      <c r="AG354">
        <v>1.7</v>
      </c>
      <c r="AI354">
        <v>8.8000000000000007</v>
      </c>
      <c r="AJ354">
        <v>1.7</v>
      </c>
    </row>
    <row r="355" spans="1:40" customFormat="1" ht="18" customHeight="1">
      <c r="A355">
        <v>349</v>
      </c>
      <c r="B355" t="s">
        <v>908</v>
      </c>
      <c r="C355" t="s">
        <v>1169</v>
      </c>
      <c r="D355" t="s">
        <v>1169</v>
      </c>
      <c r="E355" t="s">
        <v>2567</v>
      </c>
      <c r="F355" t="s">
        <v>2478</v>
      </c>
      <c r="G355">
        <v>2023</v>
      </c>
      <c r="H355" t="s">
        <v>1730</v>
      </c>
      <c r="K355" t="s">
        <v>1728</v>
      </c>
      <c r="O355">
        <v>22.5</v>
      </c>
      <c r="P355">
        <v>5.54</v>
      </c>
      <c r="Q355">
        <v>20</v>
      </c>
      <c r="R355" s="716">
        <v>586</v>
      </c>
      <c r="S355" s="716">
        <v>420</v>
      </c>
      <c r="U355">
        <v>25</v>
      </c>
      <c r="V355">
        <v>4.38</v>
      </c>
      <c r="W355">
        <v>20</v>
      </c>
      <c r="X355" t="s">
        <v>1149</v>
      </c>
      <c r="AA355">
        <v>-1</v>
      </c>
      <c r="AB355">
        <v>-0.55000000000000004</v>
      </c>
      <c r="AD355">
        <v>0</v>
      </c>
      <c r="AF355" t="s">
        <v>1149</v>
      </c>
    </row>
    <row r="356" spans="1:40" customFormat="1" ht="18" customHeight="1">
      <c r="A356">
        <v>350</v>
      </c>
      <c r="B356" t="s">
        <v>908</v>
      </c>
      <c r="C356" t="s">
        <v>1169</v>
      </c>
      <c r="D356" t="s">
        <v>1169</v>
      </c>
      <c r="E356" t="s">
        <v>2567</v>
      </c>
      <c r="F356" t="s">
        <v>2478</v>
      </c>
      <c r="G356">
        <v>2023</v>
      </c>
      <c r="H356" t="s">
        <v>1729</v>
      </c>
      <c r="K356" t="s">
        <v>1728</v>
      </c>
      <c r="O356">
        <v>10.9</v>
      </c>
      <c r="P356">
        <v>5.82</v>
      </c>
      <c r="Q356">
        <v>20</v>
      </c>
      <c r="R356" s="716">
        <v>586</v>
      </c>
      <c r="S356" s="716">
        <v>420</v>
      </c>
      <c r="U356">
        <v>12.3</v>
      </c>
      <c r="V356">
        <v>4.54</v>
      </c>
      <c r="W356">
        <v>20</v>
      </c>
      <c r="X356" t="s">
        <v>1149</v>
      </c>
      <c r="AA356">
        <v>-1</v>
      </c>
      <c r="AB356">
        <v>-0.3</v>
      </c>
      <c r="AD356">
        <v>0</v>
      </c>
      <c r="AF356" t="s">
        <v>1149</v>
      </c>
    </row>
    <row r="357" spans="1:40" customFormat="1" ht="18" customHeight="1">
      <c r="A357">
        <v>351</v>
      </c>
      <c r="B357" t="s">
        <v>908</v>
      </c>
      <c r="C357" t="s">
        <v>1169</v>
      </c>
      <c r="D357" t="s">
        <v>1169</v>
      </c>
      <c r="E357" t="s">
        <v>2567</v>
      </c>
      <c r="F357" t="s">
        <v>2710</v>
      </c>
      <c r="G357">
        <v>2017</v>
      </c>
      <c r="H357" t="s">
        <v>2642</v>
      </c>
      <c r="I357" t="s">
        <v>961</v>
      </c>
      <c r="J357" t="s">
        <v>961</v>
      </c>
      <c r="K357" t="s">
        <v>2643</v>
      </c>
      <c r="O357">
        <v>8.5</v>
      </c>
      <c r="P357">
        <v>11</v>
      </c>
      <c r="Q357">
        <v>30</v>
      </c>
      <c r="R357" s="716">
        <v>720</v>
      </c>
      <c r="S357" s="716"/>
      <c r="U357">
        <v>7.1</v>
      </c>
      <c r="V357">
        <v>5.0999999999999996</v>
      </c>
      <c r="W357">
        <v>30</v>
      </c>
      <c r="Y357">
        <v>-0.16</v>
      </c>
      <c r="AA357">
        <v>1</v>
      </c>
      <c r="AB357">
        <v>-0.27</v>
      </c>
      <c r="AD357">
        <v>1</v>
      </c>
      <c r="AK357">
        <v>1</v>
      </c>
      <c r="AL357" t="s">
        <v>48</v>
      </c>
      <c r="AM357" t="s">
        <v>32</v>
      </c>
      <c r="AN357" t="s">
        <v>41</v>
      </c>
    </row>
    <row r="358" spans="1:40" customFormat="1" ht="18" customHeight="1">
      <c r="A358">
        <v>352</v>
      </c>
      <c r="B358" t="s">
        <v>908</v>
      </c>
      <c r="C358" t="s">
        <v>1169</v>
      </c>
      <c r="D358" t="s">
        <v>1169</v>
      </c>
      <c r="E358" t="s">
        <v>2567</v>
      </c>
      <c r="F358" t="s">
        <v>2710</v>
      </c>
      <c r="G358">
        <v>2017</v>
      </c>
      <c r="H358" t="s">
        <v>2639</v>
      </c>
      <c r="I358" t="s">
        <v>961</v>
      </c>
      <c r="J358" t="s">
        <v>961</v>
      </c>
      <c r="K358" t="s">
        <v>2598</v>
      </c>
      <c r="O358">
        <v>0.1</v>
      </c>
      <c r="P358">
        <v>0.2</v>
      </c>
      <c r="Q358">
        <v>37</v>
      </c>
      <c r="R358" s="716">
        <v>720</v>
      </c>
      <c r="S358" s="716"/>
      <c r="U358">
        <v>0.1</v>
      </c>
      <c r="V358">
        <v>0.2</v>
      </c>
      <c r="W358">
        <v>30</v>
      </c>
      <c r="Y358">
        <v>0</v>
      </c>
      <c r="AA358">
        <v>1</v>
      </c>
      <c r="AB358">
        <v>0</v>
      </c>
      <c r="AD358">
        <v>1</v>
      </c>
      <c r="AK358">
        <v>1</v>
      </c>
      <c r="AL358" t="s">
        <v>48</v>
      </c>
      <c r="AM358" t="s">
        <v>32</v>
      </c>
      <c r="AN358" t="s">
        <v>41</v>
      </c>
    </row>
    <row r="359" spans="1:40" customFormat="1" ht="18" customHeight="1">
      <c r="A359">
        <v>353</v>
      </c>
      <c r="B359" t="s">
        <v>908</v>
      </c>
      <c r="C359" t="s">
        <v>1169</v>
      </c>
      <c r="D359" t="s">
        <v>1169</v>
      </c>
      <c r="E359" t="s">
        <v>2567</v>
      </c>
      <c r="F359" t="s">
        <v>2710</v>
      </c>
      <c r="G359">
        <v>2017</v>
      </c>
      <c r="H359" t="s">
        <v>2515</v>
      </c>
      <c r="I359" t="s">
        <v>961</v>
      </c>
      <c r="J359" t="s">
        <v>961</v>
      </c>
      <c r="K359" t="s">
        <v>2604</v>
      </c>
      <c r="O359">
        <v>7.9</v>
      </c>
      <c r="P359">
        <v>10.8</v>
      </c>
      <c r="Q359">
        <v>37</v>
      </c>
      <c r="R359" s="716">
        <v>720</v>
      </c>
      <c r="S359" s="716"/>
      <c r="U359">
        <v>5.8</v>
      </c>
      <c r="V359">
        <v>5.7</v>
      </c>
      <c r="W359">
        <v>30</v>
      </c>
      <c r="Y359">
        <v>-0.24</v>
      </c>
      <c r="AA359">
        <v>1</v>
      </c>
      <c r="AB359">
        <v>-0.36</v>
      </c>
      <c r="AD359">
        <v>1</v>
      </c>
      <c r="AK359">
        <v>1</v>
      </c>
      <c r="AL359" t="s">
        <v>48</v>
      </c>
      <c r="AM359" t="s">
        <v>32</v>
      </c>
      <c r="AN359" t="s">
        <v>41</v>
      </c>
    </row>
    <row r="360" spans="1:40" customFormat="1" ht="18" customHeight="1">
      <c r="A360">
        <v>354</v>
      </c>
      <c r="B360" t="s">
        <v>908</v>
      </c>
      <c r="C360" t="s">
        <v>1169</v>
      </c>
      <c r="D360" t="s">
        <v>1169</v>
      </c>
      <c r="E360" t="s">
        <v>2567</v>
      </c>
      <c r="F360" t="s">
        <v>2710</v>
      </c>
      <c r="G360">
        <v>2017</v>
      </c>
      <c r="H360" t="s">
        <v>2516</v>
      </c>
      <c r="K360" t="s">
        <v>2606</v>
      </c>
      <c r="O360">
        <v>13.3</v>
      </c>
      <c r="P360">
        <v>8.1999999999999993</v>
      </c>
      <c r="Q360">
        <v>37</v>
      </c>
      <c r="R360" s="716">
        <v>720</v>
      </c>
      <c r="S360" s="716"/>
      <c r="U360">
        <v>11.9</v>
      </c>
      <c r="V360">
        <v>7.6</v>
      </c>
      <c r="W360">
        <v>30</v>
      </c>
      <c r="Y360">
        <v>-0.18</v>
      </c>
      <c r="AA360">
        <v>1</v>
      </c>
      <c r="AB360">
        <v>-0.18</v>
      </c>
      <c r="AD360">
        <v>1</v>
      </c>
      <c r="AK360">
        <v>1</v>
      </c>
      <c r="AL360" t="s">
        <v>48</v>
      </c>
      <c r="AM360" t="s">
        <v>32</v>
      </c>
      <c r="AN360" t="s">
        <v>41</v>
      </c>
    </row>
    <row r="361" spans="1:40" customFormat="1" ht="18" customHeight="1">
      <c r="A361">
        <v>355</v>
      </c>
      <c r="B361" t="s">
        <v>908</v>
      </c>
      <c r="C361" t="s">
        <v>1169</v>
      </c>
      <c r="D361" t="s">
        <v>1169</v>
      </c>
      <c r="E361" t="s">
        <v>2567</v>
      </c>
      <c r="F361" t="s">
        <v>2710</v>
      </c>
      <c r="G361">
        <v>2017</v>
      </c>
      <c r="H361" t="s">
        <v>2517</v>
      </c>
      <c r="I361" t="s">
        <v>961</v>
      </c>
      <c r="J361" t="s">
        <v>961</v>
      </c>
      <c r="K361" t="s">
        <v>2614</v>
      </c>
      <c r="O361">
        <v>0.7</v>
      </c>
      <c r="P361">
        <v>1</v>
      </c>
      <c r="Q361">
        <v>37</v>
      </c>
      <c r="R361" s="716">
        <v>720</v>
      </c>
      <c r="S361" s="716"/>
      <c r="U361">
        <v>0.6</v>
      </c>
      <c r="V361">
        <v>0.8</v>
      </c>
      <c r="W361">
        <v>30</v>
      </c>
      <c r="Y361">
        <v>-0.11</v>
      </c>
      <c r="AA361">
        <v>1</v>
      </c>
      <c r="AB361">
        <v>-0.12</v>
      </c>
      <c r="AD361">
        <v>1</v>
      </c>
      <c r="AE361">
        <v>-0.4</v>
      </c>
      <c r="AK361">
        <v>1</v>
      </c>
      <c r="AL361" t="s">
        <v>48</v>
      </c>
      <c r="AM361" t="s">
        <v>32</v>
      </c>
      <c r="AN361" t="s">
        <v>41</v>
      </c>
    </row>
    <row r="362" spans="1:40" customFormat="1" ht="18" customHeight="1">
      <c r="A362">
        <v>356</v>
      </c>
      <c r="B362" t="s">
        <v>908</v>
      </c>
      <c r="C362" t="s">
        <v>1169</v>
      </c>
      <c r="D362" t="s">
        <v>1169</v>
      </c>
      <c r="E362" t="s">
        <v>2567</v>
      </c>
      <c r="F362" t="s">
        <v>2710</v>
      </c>
      <c r="G362">
        <v>2017</v>
      </c>
      <c r="H362" t="s">
        <v>2518</v>
      </c>
      <c r="K362" t="s">
        <v>2615</v>
      </c>
      <c r="O362">
        <v>3.9</v>
      </c>
      <c r="P362">
        <v>4.7</v>
      </c>
      <c r="Q362">
        <v>37</v>
      </c>
      <c r="R362" s="716">
        <v>720</v>
      </c>
      <c r="S362" s="716"/>
      <c r="U362">
        <v>4.8</v>
      </c>
      <c r="V362">
        <v>5.7</v>
      </c>
      <c r="W362">
        <v>30</v>
      </c>
      <c r="Y362">
        <v>0.17</v>
      </c>
      <c r="AA362">
        <v>1</v>
      </c>
      <c r="AB362">
        <v>0.16</v>
      </c>
      <c r="AD362">
        <v>1</v>
      </c>
      <c r="AK362">
        <v>1</v>
      </c>
      <c r="AL362" t="s">
        <v>48</v>
      </c>
      <c r="AM362" t="s">
        <v>32</v>
      </c>
      <c r="AN362" t="s">
        <v>41</v>
      </c>
    </row>
    <row r="363" spans="1:40" customFormat="1" ht="18" customHeight="1">
      <c r="A363">
        <v>357</v>
      </c>
      <c r="B363" t="s">
        <v>908</v>
      </c>
      <c r="C363" t="s">
        <v>1169</v>
      </c>
      <c r="D363" t="s">
        <v>1169</v>
      </c>
      <c r="E363" t="s">
        <v>2567</v>
      </c>
      <c r="F363" t="s">
        <v>51</v>
      </c>
      <c r="G363">
        <v>2021</v>
      </c>
      <c r="H363" t="s">
        <v>2513</v>
      </c>
      <c r="K363" t="s">
        <v>165</v>
      </c>
      <c r="O363">
        <v>15</v>
      </c>
      <c r="P363">
        <v>0.8</v>
      </c>
      <c r="Q363">
        <v>19</v>
      </c>
      <c r="R363" s="716">
        <v>890</v>
      </c>
      <c r="S363" s="716"/>
      <c r="U363">
        <v>15</v>
      </c>
      <c r="V363">
        <v>0.8</v>
      </c>
      <c r="W363">
        <v>25</v>
      </c>
      <c r="Y363">
        <v>0</v>
      </c>
      <c r="AA363">
        <v>-1</v>
      </c>
      <c r="AB363">
        <v>0</v>
      </c>
      <c r="AD363">
        <v>1</v>
      </c>
      <c r="AK363">
        <v>2</v>
      </c>
    </row>
    <row r="364" spans="1:40" customFormat="1" ht="18" customHeight="1">
      <c r="A364">
        <v>358</v>
      </c>
      <c r="B364" t="s">
        <v>908</v>
      </c>
      <c r="C364" t="s">
        <v>1169</v>
      </c>
      <c r="D364" t="s">
        <v>1169</v>
      </c>
      <c r="E364" t="s">
        <v>2567</v>
      </c>
      <c r="F364" t="s">
        <v>51</v>
      </c>
      <c r="G364">
        <v>2021</v>
      </c>
      <c r="H364" t="s">
        <v>166</v>
      </c>
      <c r="O364">
        <v>33</v>
      </c>
      <c r="P364">
        <v>4.8</v>
      </c>
      <c r="Q364">
        <v>19</v>
      </c>
      <c r="R364" s="716">
        <v>890</v>
      </c>
      <c r="S364" s="716"/>
      <c r="U364">
        <v>35</v>
      </c>
      <c r="V364">
        <v>1.57</v>
      </c>
      <c r="W364">
        <v>25</v>
      </c>
      <c r="Y364">
        <v>0.56000000000000005</v>
      </c>
      <c r="AA364">
        <v>-1</v>
      </c>
      <c r="AB364">
        <v>-1.25</v>
      </c>
      <c r="AD364">
        <v>1</v>
      </c>
      <c r="AK364">
        <v>2</v>
      </c>
    </row>
    <row r="365" spans="1:40" customFormat="1" ht="18" customHeight="1">
      <c r="A365">
        <v>359</v>
      </c>
      <c r="B365" t="s">
        <v>908</v>
      </c>
      <c r="C365" t="s">
        <v>1169</v>
      </c>
      <c r="D365" t="s">
        <v>1169</v>
      </c>
      <c r="E365" t="s">
        <v>2567</v>
      </c>
      <c r="F365" t="s">
        <v>51</v>
      </c>
      <c r="G365">
        <v>2021</v>
      </c>
      <c r="H365" t="s">
        <v>164</v>
      </c>
      <c r="O365">
        <v>36</v>
      </c>
      <c r="P365">
        <v>0.01</v>
      </c>
      <c r="Q365">
        <v>19</v>
      </c>
      <c r="R365" s="716">
        <v>890</v>
      </c>
      <c r="S365" s="716"/>
      <c r="U365">
        <v>36</v>
      </c>
      <c r="V365">
        <v>0.01</v>
      </c>
      <c r="W365">
        <v>25</v>
      </c>
      <c r="Y365">
        <v>0</v>
      </c>
      <c r="AA365">
        <v>-1</v>
      </c>
      <c r="AB365">
        <v>0</v>
      </c>
      <c r="AD365">
        <v>1</v>
      </c>
      <c r="AK365">
        <v>2</v>
      </c>
    </row>
    <row r="366" spans="1:40" customFormat="1" ht="18" customHeight="1">
      <c r="A366">
        <v>360</v>
      </c>
      <c r="B366" t="s">
        <v>908</v>
      </c>
      <c r="C366" t="s">
        <v>1010</v>
      </c>
      <c r="D366" t="s">
        <v>1010</v>
      </c>
      <c r="E366" t="s">
        <v>2567</v>
      </c>
      <c r="F366" t="s">
        <v>2710</v>
      </c>
      <c r="G366">
        <v>2018</v>
      </c>
      <c r="H366" t="s">
        <v>2634</v>
      </c>
      <c r="I366" t="s">
        <v>1419</v>
      </c>
      <c r="J366" t="s">
        <v>1419</v>
      </c>
      <c r="K366" t="s">
        <v>157</v>
      </c>
      <c r="L366" t="s">
        <v>2676</v>
      </c>
      <c r="O366">
        <v>704.5</v>
      </c>
      <c r="P366">
        <v>147.30000000000001</v>
      </c>
      <c r="Q366">
        <v>15</v>
      </c>
      <c r="R366" s="716">
        <v>751</v>
      </c>
      <c r="S366" s="716"/>
      <c r="U366">
        <v>679</v>
      </c>
      <c r="V366">
        <v>143.1</v>
      </c>
      <c r="W366">
        <v>24</v>
      </c>
      <c r="Y366">
        <v>-0.18</v>
      </c>
      <c r="AA366">
        <v>1</v>
      </c>
      <c r="AB366">
        <v>-0.17</v>
      </c>
      <c r="AD366">
        <v>1</v>
      </c>
      <c r="AK366">
        <v>1</v>
      </c>
      <c r="AL366" t="s">
        <v>48</v>
      </c>
      <c r="AM366" t="s">
        <v>32</v>
      </c>
      <c r="AN366" t="s">
        <v>41</v>
      </c>
    </row>
    <row r="367" spans="1:40" customFormat="1" ht="18" customHeight="1">
      <c r="A367">
        <v>361</v>
      </c>
      <c r="B367" t="s">
        <v>908</v>
      </c>
      <c r="C367" t="s">
        <v>1010</v>
      </c>
      <c r="D367" t="s">
        <v>1010</v>
      </c>
      <c r="E367" t="s">
        <v>2567</v>
      </c>
      <c r="F367" t="s">
        <v>2710</v>
      </c>
      <c r="G367">
        <v>2017</v>
      </c>
      <c r="H367" t="s">
        <v>2639</v>
      </c>
      <c r="I367" t="s">
        <v>1419</v>
      </c>
      <c r="J367" t="s">
        <v>1419</v>
      </c>
      <c r="K367" t="s">
        <v>158</v>
      </c>
      <c r="O367">
        <v>731</v>
      </c>
      <c r="P367">
        <v>141.80000000000001</v>
      </c>
      <c r="Q367">
        <v>37</v>
      </c>
      <c r="R367" s="716">
        <v>720</v>
      </c>
      <c r="S367" s="716"/>
      <c r="U367">
        <v>617</v>
      </c>
      <c r="V367">
        <v>98.2</v>
      </c>
      <c r="W367">
        <v>30</v>
      </c>
      <c r="Y367">
        <v>-0.93</v>
      </c>
      <c r="AA367">
        <v>1</v>
      </c>
      <c r="AB367">
        <v>-1.1499999999999999</v>
      </c>
      <c r="AD367">
        <v>1</v>
      </c>
      <c r="AK367">
        <v>1</v>
      </c>
      <c r="AL367" t="s">
        <v>48</v>
      </c>
      <c r="AM367" t="s">
        <v>32</v>
      </c>
      <c r="AN367" t="s">
        <v>41</v>
      </c>
    </row>
    <row r="368" spans="1:40" customFormat="1" ht="18" customHeight="1">
      <c r="A368">
        <v>362</v>
      </c>
      <c r="B368" t="s">
        <v>908</v>
      </c>
      <c r="C368" t="s">
        <v>1010</v>
      </c>
      <c r="D368" t="s">
        <v>1010</v>
      </c>
      <c r="E368" t="s">
        <v>2567</v>
      </c>
      <c r="F368" t="s">
        <v>2710</v>
      </c>
      <c r="G368">
        <v>2017</v>
      </c>
      <c r="H368" t="s">
        <v>2642</v>
      </c>
      <c r="I368" t="s">
        <v>1419</v>
      </c>
      <c r="J368" t="s">
        <v>1419</v>
      </c>
      <c r="K368" t="s">
        <v>2644</v>
      </c>
      <c r="O368">
        <v>897</v>
      </c>
      <c r="P368">
        <v>138.9</v>
      </c>
      <c r="Q368">
        <v>37</v>
      </c>
      <c r="R368" s="716">
        <v>720</v>
      </c>
      <c r="S368" s="716"/>
      <c r="U368">
        <v>835</v>
      </c>
      <c r="V368">
        <v>175.1</v>
      </c>
      <c r="W368">
        <v>30</v>
      </c>
      <c r="Y368">
        <v>-0.39</v>
      </c>
      <c r="AA368">
        <v>1</v>
      </c>
      <c r="AB368">
        <v>-0.35</v>
      </c>
      <c r="AD368">
        <v>1</v>
      </c>
      <c r="AK368">
        <v>1</v>
      </c>
      <c r="AL368" t="s">
        <v>48</v>
      </c>
      <c r="AM368" t="s">
        <v>32</v>
      </c>
      <c r="AN368" t="s">
        <v>41</v>
      </c>
    </row>
    <row r="369" spans="1:40" customFormat="1" ht="18" customHeight="1">
      <c r="A369">
        <v>363</v>
      </c>
      <c r="B369" t="s">
        <v>908</v>
      </c>
      <c r="C369" t="s">
        <v>1010</v>
      </c>
      <c r="D369" t="s">
        <v>1010</v>
      </c>
      <c r="E369" t="s">
        <v>2567</v>
      </c>
      <c r="F369" t="s">
        <v>2710</v>
      </c>
      <c r="G369">
        <v>2017</v>
      </c>
      <c r="H369" t="s">
        <v>161</v>
      </c>
      <c r="I369" t="s">
        <v>1419</v>
      </c>
      <c r="J369" t="s">
        <v>1419</v>
      </c>
      <c r="K369" t="s">
        <v>162</v>
      </c>
      <c r="O369">
        <v>795</v>
      </c>
      <c r="P369">
        <v>296.7</v>
      </c>
      <c r="Q369">
        <v>37</v>
      </c>
      <c r="R369" s="716">
        <v>720</v>
      </c>
      <c r="S369" s="716"/>
      <c r="U369">
        <v>604</v>
      </c>
      <c r="V369">
        <v>103.6</v>
      </c>
      <c r="W369">
        <v>30</v>
      </c>
      <c r="Y369">
        <v>-0.86</v>
      </c>
      <c r="AA369">
        <v>1</v>
      </c>
      <c r="AB369">
        <v>-1.82</v>
      </c>
      <c r="AD369">
        <v>1</v>
      </c>
      <c r="AK369">
        <v>1</v>
      </c>
      <c r="AL369" t="s">
        <v>48</v>
      </c>
      <c r="AM369" t="s">
        <v>32</v>
      </c>
      <c r="AN369" t="s">
        <v>41</v>
      </c>
    </row>
    <row r="370" spans="1:40" customFormat="1" ht="18" customHeight="1">
      <c r="A370">
        <v>364</v>
      </c>
      <c r="B370" t="s">
        <v>1353</v>
      </c>
      <c r="C370" t="s">
        <v>1010</v>
      </c>
      <c r="D370" t="s">
        <v>1010</v>
      </c>
      <c r="E370" t="s">
        <v>2567</v>
      </c>
      <c r="F370" t="s">
        <v>1397</v>
      </c>
      <c r="G370">
        <v>2006</v>
      </c>
      <c r="H370" t="s">
        <v>2023</v>
      </c>
      <c r="I370" t="s">
        <v>961</v>
      </c>
      <c r="J370" t="s">
        <v>961</v>
      </c>
      <c r="K370" t="s">
        <v>1215</v>
      </c>
      <c r="O370">
        <v>1.1000000000000001</v>
      </c>
      <c r="P370">
        <v>2</v>
      </c>
      <c r="Q370">
        <v>26</v>
      </c>
      <c r="R370" s="716">
        <v>424</v>
      </c>
      <c r="S370" s="716">
        <v>339</v>
      </c>
      <c r="U370">
        <v>1</v>
      </c>
      <c r="V370">
        <v>1.6</v>
      </c>
      <c r="W370">
        <v>25</v>
      </c>
      <c r="AA370">
        <v>1</v>
      </c>
      <c r="AB370">
        <v>-0.06</v>
      </c>
      <c r="AD370">
        <v>1</v>
      </c>
      <c r="AF370">
        <v>11.2</v>
      </c>
      <c r="AG370">
        <v>3.1</v>
      </c>
      <c r="AI370">
        <v>11.3</v>
      </c>
      <c r="AJ370">
        <v>3.4</v>
      </c>
    </row>
    <row r="371" spans="1:40" customFormat="1" ht="18" customHeight="1">
      <c r="A371">
        <v>365</v>
      </c>
      <c r="B371" t="s">
        <v>1353</v>
      </c>
      <c r="C371" t="s">
        <v>1010</v>
      </c>
      <c r="D371" t="s">
        <v>1010</v>
      </c>
      <c r="E371" t="s">
        <v>2567</v>
      </c>
      <c r="F371" t="s">
        <v>2457</v>
      </c>
      <c r="G371">
        <v>1996</v>
      </c>
      <c r="H371" t="s">
        <v>1527</v>
      </c>
      <c r="I371" t="s">
        <v>1419</v>
      </c>
      <c r="K371" t="s">
        <v>2653</v>
      </c>
      <c r="M371" t="s">
        <v>633</v>
      </c>
      <c r="O371">
        <v>83.5</v>
      </c>
      <c r="P371">
        <v>16.7</v>
      </c>
      <c r="Q371">
        <v>20</v>
      </c>
      <c r="R371" s="716">
        <v>583</v>
      </c>
      <c r="S371" s="716">
        <v>377</v>
      </c>
      <c r="U371">
        <v>62.1</v>
      </c>
      <c r="V371">
        <v>12.1</v>
      </c>
      <c r="W371">
        <v>20</v>
      </c>
      <c r="AA371">
        <v>1</v>
      </c>
      <c r="AB371">
        <v>-1.73</v>
      </c>
      <c r="AD371">
        <v>1</v>
      </c>
      <c r="AF371">
        <v>10.9</v>
      </c>
      <c r="AG371">
        <v>1.3</v>
      </c>
      <c r="AI371">
        <v>11</v>
      </c>
      <c r="AJ371">
        <v>1.1000000000000001</v>
      </c>
    </row>
    <row r="372" spans="1:40" customFormat="1" ht="18" customHeight="1">
      <c r="A372">
        <v>366</v>
      </c>
      <c r="B372" t="s">
        <v>1353</v>
      </c>
      <c r="C372" t="s">
        <v>1010</v>
      </c>
      <c r="D372" t="s">
        <v>1010</v>
      </c>
      <c r="E372" t="s">
        <v>2567</v>
      </c>
      <c r="F372" t="s">
        <v>2457</v>
      </c>
      <c r="G372">
        <v>1999</v>
      </c>
      <c r="H372" t="s">
        <v>1550</v>
      </c>
      <c r="I372" t="s">
        <v>1419</v>
      </c>
      <c r="K372" t="s">
        <v>2656</v>
      </c>
      <c r="L372" t="s">
        <v>1496</v>
      </c>
      <c r="M372" t="s">
        <v>633</v>
      </c>
      <c r="O372">
        <v>67.400000000000006</v>
      </c>
      <c r="P372">
        <v>11.2</v>
      </c>
      <c r="Q372">
        <v>20</v>
      </c>
      <c r="R372" s="716">
        <v>744</v>
      </c>
      <c r="S372" s="716">
        <v>456</v>
      </c>
      <c r="U372">
        <v>56.6</v>
      </c>
      <c r="V372">
        <v>8.1999999999999993</v>
      </c>
      <c r="W372">
        <v>20</v>
      </c>
      <c r="AA372">
        <v>1</v>
      </c>
      <c r="AB372">
        <v>-1.29</v>
      </c>
      <c r="AD372">
        <v>1</v>
      </c>
      <c r="AF372">
        <v>13.9</v>
      </c>
      <c r="AG372">
        <v>1.3</v>
      </c>
      <c r="AI372">
        <v>14</v>
      </c>
      <c r="AJ372">
        <v>1.1000000000000001</v>
      </c>
    </row>
    <row r="373" spans="1:40" customFormat="1" ht="18" customHeight="1">
      <c r="A373">
        <v>367</v>
      </c>
      <c r="B373" t="s">
        <v>1353</v>
      </c>
      <c r="C373" t="s">
        <v>1010</v>
      </c>
      <c r="D373" t="s">
        <v>1010</v>
      </c>
      <c r="E373" t="s">
        <v>2567</v>
      </c>
      <c r="F373" t="s">
        <v>1397</v>
      </c>
      <c r="G373">
        <v>2006</v>
      </c>
      <c r="H373" t="s">
        <v>1550</v>
      </c>
      <c r="I373" t="s">
        <v>1419</v>
      </c>
      <c r="J373" t="s">
        <v>1419</v>
      </c>
      <c r="K373" t="s">
        <v>1419</v>
      </c>
      <c r="O373">
        <v>811</v>
      </c>
      <c r="P373">
        <v>173</v>
      </c>
      <c r="Q373">
        <v>26</v>
      </c>
      <c r="R373" s="716">
        <v>424</v>
      </c>
      <c r="S373" s="716">
        <v>339</v>
      </c>
      <c r="U373">
        <v>817</v>
      </c>
      <c r="V373">
        <v>207</v>
      </c>
      <c r="W373">
        <v>25</v>
      </c>
      <c r="AA373">
        <v>1</v>
      </c>
      <c r="AB373">
        <v>0.03</v>
      </c>
      <c r="AD373">
        <v>1</v>
      </c>
      <c r="AF373">
        <v>11.2</v>
      </c>
      <c r="AG373">
        <v>3.1</v>
      </c>
      <c r="AI373">
        <v>11.3</v>
      </c>
      <c r="AJ373">
        <v>3.4</v>
      </c>
    </row>
    <row r="374" spans="1:40" customFormat="1" ht="18" customHeight="1">
      <c r="A374">
        <v>368</v>
      </c>
      <c r="B374" t="s">
        <v>1353</v>
      </c>
      <c r="C374" t="s">
        <v>1010</v>
      </c>
      <c r="D374" t="s">
        <v>1010</v>
      </c>
      <c r="E374" t="s">
        <v>2567</v>
      </c>
      <c r="F374" t="s">
        <v>1393</v>
      </c>
      <c r="G374">
        <v>2005</v>
      </c>
      <c r="H374" t="s">
        <v>1550</v>
      </c>
      <c r="I374" t="s">
        <v>1419</v>
      </c>
      <c r="K374" t="s">
        <v>1494</v>
      </c>
      <c r="O374">
        <v>40</v>
      </c>
      <c r="P374">
        <v>9</v>
      </c>
      <c r="Q374">
        <v>26</v>
      </c>
      <c r="R374" s="716">
        <v>489</v>
      </c>
      <c r="S374" s="716">
        <v>181</v>
      </c>
      <c r="U374">
        <v>45</v>
      </c>
      <c r="V374">
        <v>6</v>
      </c>
      <c r="W374">
        <v>21</v>
      </c>
      <c r="AA374">
        <v>-1</v>
      </c>
      <c r="AB374">
        <v>-0.82</v>
      </c>
      <c r="AD374">
        <v>1</v>
      </c>
      <c r="AF374">
        <v>12.3</v>
      </c>
      <c r="AG374">
        <v>3.7</v>
      </c>
      <c r="AI374">
        <v>11.8</v>
      </c>
      <c r="AJ374">
        <v>3.6</v>
      </c>
    </row>
    <row r="375" spans="1:40" customFormat="1" ht="18" customHeight="1">
      <c r="A375">
        <v>369</v>
      </c>
      <c r="B375" t="s">
        <v>1353</v>
      </c>
      <c r="C375" t="s">
        <v>1010</v>
      </c>
      <c r="D375" t="s">
        <v>1010</v>
      </c>
      <c r="E375" t="s">
        <v>2567</v>
      </c>
      <c r="F375" t="s">
        <v>662</v>
      </c>
      <c r="G375">
        <v>2001</v>
      </c>
      <c r="H375" t="s">
        <v>2682</v>
      </c>
      <c r="K375" t="s">
        <v>2683</v>
      </c>
      <c r="M375" t="s">
        <v>633</v>
      </c>
      <c r="O375">
        <v>64.7</v>
      </c>
      <c r="P375">
        <v>19.809999999999999</v>
      </c>
      <c r="Q375">
        <v>23</v>
      </c>
      <c r="R375" s="716">
        <v>496</v>
      </c>
      <c r="S375" s="716">
        <v>230</v>
      </c>
      <c r="U375">
        <v>81</v>
      </c>
      <c r="V375">
        <v>22.62</v>
      </c>
      <c r="W375">
        <v>23</v>
      </c>
      <c r="AA375">
        <v>-1</v>
      </c>
      <c r="AB375">
        <v>-0.71</v>
      </c>
      <c r="AD375">
        <v>1</v>
      </c>
      <c r="AF375">
        <v>10.7</v>
      </c>
      <c r="AG375">
        <v>3.4</v>
      </c>
      <c r="AI375">
        <v>11.1</v>
      </c>
      <c r="AJ375">
        <v>3.7</v>
      </c>
    </row>
    <row r="376" spans="1:40" customFormat="1" ht="18" customHeight="1">
      <c r="A376">
        <v>370</v>
      </c>
      <c r="B376" t="s">
        <v>1353</v>
      </c>
      <c r="C376" t="s">
        <v>1010</v>
      </c>
      <c r="D376" t="s">
        <v>1010</v>
      </c>
      <c r="E376" t="s">
        <v>2567</v>
      </c>
      <c r="F376" t="s">
        <v>2457</v>
      </c>
      <c r="G376">
        <v>1996</v>
      </c>
      <c r="H376" t="s">
        <v>1551</v>
      </c>
      <c r="I376" t="s">
        <v>1419</v>
      </c>
      <c r="K376" t="s">
        <v>2654</v>
      </c>
      <c r="M376" t="s">
        <v>633</v>
      </c>
      <c r="O376">
        <v>48.2</v>
      </c>
      <c r="P376">
        <v>10.6</v>
      </c>
      <c r="Q376">
        <v>20</v>
      </c>
      <c r="R376" s="716">
        <v>583</v>
      </c>
      <c r="S376" s="716">
        <v>377</v>
      </c>
      <c r="U376">
        <v>38.4</v>
      </c>
      <c r="V376">
        <v>7.1</v>
      </c>
      <c r="W376">
        <v>20</v>
      </c>
      <c r="AA376">
        <v>1</v>
      </c>
      <c r="AB376">
        <v>-1.35</v>
      </c>
      <c r="AD376">
        <v>1</v>
      </c>
      <c r="AF376">
        <v>10.9</v>
      </c>
      <c r="AG376">
        <v>1.3</v>
      </c>
      <c r="AI376">
        <v>11</v>
      </c>
      <c r="AJ376">
        <v>1.1000000000000001</v>
      </c>
    </row>
    <row r="377" spans="1:40" customFormat="1" ht="18" customHeight="1">
      <c r="A377">
        <v>371</v>
      </c>
      <c r="B377" t="s">
        <v>1353</v>
      </c>
      <c r="C377" t="s">
        <v>1010</v>
      </c>
      <c r="D377" t="s">
        <v>1010</v>
      </c>
      <c r="E377" t="s">
        <v>2567</v>
      </c>
      <c r="F377" t="s">
        <v>2457</v>
      </c>
      <c r="G377">
        <v>1999</v>
      </c>
      <c r="H377" t="s">
        <v>1551</v>
      </c>
      <c r="I377" t="s">
        <v>1419</v>
      </c>
      <c r="K377" t="s">
        <v>2657</v>
      </c>
      <c r="L377" t="s">
        <v>1281</v>
      </c>
      <c r="M377" t="s">
        <v>633</v>
      </c>
      <c r="O377">
        <v>41.1</v>
      </c>
      <c r="P377">
        <v>10.3</v>
      </c>
      <c r="Q377">
        <v>20</v>
      </c>
      <c r="R377" s="716">
        <v>744</v>
      </c>
      <c r="S377" s="716">
        <v>456</v>
      </c>
      <c r="U377">
        <v>34</v>
      </c>
      <c r="V377">
        <v>4.3</v>
      </c>
      <c r="W377">
        <v>20</v>
      </c>
      <c r="AA377">
        <v>1</v>
      </c>
      <c r="AB377">
        <v>-1.62</v>
      </c>
      <c r="AD377">
        <v>1</v>
      </c>
      <c r="AF377">
        <v>13.9</v>
      </c>
      <c r="AG377">
        <v>1.3</v>
      </c>
      <c r="AI377">
        <v>14</v>
      </c>
      <c r="AJ377">
        <v>1.1000000000000001</v>
      </c>
    </row>
    <row r="378" spans="1:40" customFormat="1" ht="18" customHeight="1">
      <c r="A378">
        <v>372</v>
      </c>
      <c r="B378" t="s">
        <v>1353</v>
      </c>
      <c r="C378" t="s">
        <v>1010</v>
      </c>
      <c r="D378" t="s">
        <v>1010</v>
      </c>
      <c r="E378" t="s">
        <v>2567</v>
      </c>
      <c r="F378" t="s">
        <v>1393</v>
      </c>
      <c r="G378">
        <v>2005</v>
      </c>
      <c r="H378" t="s">
        <v>1551</v>
      </c>
      <c r="I378" t="s">
        <v>1419</v>
      </c>
      <c r="K378" t="s">
        <v>1514</v>
      </c>
      <c r="O378">
        <v>45</v>
      </c>
      <c r="P378">
        <v>8</v>
      </c>
      <c r="Q378">
        <v>26</v>
      </c>
      <c r="R378" s="716">
        <v>489</v>
      </c>
      <c r="S378" s="716">
        <v>181</v>
      </c>
      <c r="U378">
        <v>50</v>
      </c>
      <c r="V378">
        <v>6</v>
      </c>
      <c r="W378">
        <v>21</v>
      </c>
      <c r="AA378">
        <v>-1</v>
      </c>
      <c r="AB378">
        <v>-0.82</v>
      </c>
      <c r="AD378">
        <v>1</v>
      </c>
      <c r="AF378">
        <v>12.3</v>
      </c>
      <c r="AG378">
        <v>3.7</v>
      </c>
      <c r="AI378">
        <v>11.8</v>
      </c>
      <c r="AJ378">
        <v>3.6</v>
      </c>
    </row>
    <row r="379" spans="1:40" customFormat="1" ht="18" customHeight="1">
      <c r="A379">
        <v>373</v>
      </c>
      <c r="B379" t="s">
        <v>1353</v>
      </c>
      <c r="C379" t="s">
        <v>1010</v>
      </c>
      <c r="D379" t="s">
        <v>1010</v>
      </c>
      <c r="E379" t="s">
        <v>2567</v>
      </c>
      <c r="F379" t="s">
        <v>662</v>
      </c>
      <c r="G379">
        <v>2001</v>
      </c>
      <c r="H379" t="s">
        <v>2681</v>
      </c>
      <c r="K379" t="s">
        <v>2683</v>
      </c>
      <c r="M379" t="s">
        <v>633</v>
      </c>
      <c r="O379">
        <v>90.2</v>
      </c>
      <c r="P379">
        <v>27.02</v>
      </c>
      <c r="Q379">
        <v>23</v>
      </c>
      <c r="R379" s="716">
        <v>496</v>
      </c>
      <c r="S379" s="716">
        <v>230</v>
      </c>
      <c r="U379">
        <v>107.5</v>
      </c>
      <c r="V379">
        <v>30.92</v>
      </c>
      <c r="W379">
        <v>23</v>
      </c>
      <c r="AA379">
        <v>-1</v>
      </c>
      <c r="AB379">
        <v>-0.55000000000000004</v>
      </c>
      <c r="AD379">
        <v>1</v>
      </c>
      <c r="AE379">
        <v>-0.56000000000000005</v>
      </c>
      <c r="AF379">
        <v>10.7</v>
      </c>
      <c r="AG379">
        <v>3.4</v>
      </c>
      <c r="AI379">
        <v>11.1</v>
      </c>
      <c r="AJ379">
        <v>3.7</v>
      </c>
    </row>
    <row r="380" spans="1:40" customFormat="1" ht="18" customHeight="1">
      <c r="A380">
        <v>374</v>
      </c>
      <c r="B380" t="s">
        <v>908</v>
      </c>
      <c r="C380" t="s">
        <v>1010</v>
      </c>
      <c r="D380" t="s">
        <v>1010</v>
      </c>
      <c r="E380" t="s">
        <v>2567</v>
      </c>
      <c r="F380" t="s">
        <v>2710</v>
      </c>
      <c r="G380">
        <v>2017</v>
      </c>
      <c r="H380" t="s">
        <v>159</v>
      </c>
      <c r="I380" t="s">
        <v>1419</v>
      </c>
      <c r="J380" t="s">
        <v>1419</v>
      </c>
      <c r="K380" t="s">
        <v>160</v>
      </c>
      <c r="O380">
        <v>574</v>
      </c>
      <c r="P380">
        <v>120</v>
      </c>
      <c r="Q380">
        <v>37</v>
      </c>
      <c r="R380" s="716">
        <v>720</v>
      </c>
      <c r="S380" s="716"/>
      <c r="U380">
        <v>507</v>
      </c>
      <c r="V380">
        <v>93.3</v>
      </c>
      <c r="W380">
        <v>30</v>
      </c>
      <c r="Y380">
        <v>-0.62</v>
      </c>
      <c r="AA380">
        <v>1</v>
      </c>
      <c r="AB380">
        <v>-0.71</v>
      </c>
      <c r="AD380">
        <v>1</v>
      </c>
      <c r="AE380">
        <v>-0.53</v>
      </c>
      <c r="AK380">
        <v>1</v>
      </c>
      <c r="AL380" t="s">
        <v>48</v>
      </c>
      <c r="AM380" t="s">
        <v>32</v>
      </c>
      <c r="AN380" t="s">
        <v>41</v>
      </c>
    </row>
    <row r="381" spans="1:40" customFormat="1" ht="18" customHeight="1">
      <c r="A381">
        <v>375</v>
      </c>
      <c r="B381" t="s">
        <v>908</v>
      </c>
      <c r="C381" t="s">
        <v>168</v>
      </c>
      <c r="D381" t="s">
        <v>168</v>
      </c>
      <c r="F381" t="s">
        <v>2710</v>
      </c>
      <c r="G381">
        <v>2017</v>
      </c>
      <c r="H381" t="s">
        <v>2519</v>
      </c>
      <c r="K381" t="s">
        <v>2610</v>
      </c>
      <c r="O381">
        <v>14.5</v>
      </c>
      <c r="P381">
        <v>13.1</v>
      </c>
      <c r="Q381">
        <v>37</v>
      </c>
      <c r="R381" s="716">
        <v>720</v>
      </c>
      <c r="S381" s="716"/>
      <c r="U381">
        <v>11.2</v>
      </c>
      <c r="V381">
        <v>8.6999999999999993</v>
      </c>
      <c r="W381">
        <v>30</v>
      </c>
      <c r="Y381">
        <v>-0.3</v>
      </c>
      <c r="AA381">
        <v>1</v>
      </c>
      <c r="AB381">
        <v>-0.37</v>
      </c>
      <c r="AD381">
        <v>1</v>
      </c>
      <c r="AK381">
        <v>1</v>
      </c>
      <c r="AL381" t="s">
        <v>48</v>
      </c>
      <c r="AM381" t="s">
        <v>32</v>
      </c>
      <c r="AN381" t="s">
        <v>41</v>
      </c>
    </row>
    <row r="382" spans="1:40" customFormat="1" ht="18" customHeight="1">
      <c r="A382">
        <v>376</v>
      </c>
      <c r="B382" t="s">
        <v>908</v>
      </c>
      <c r="C382" t="s">
        <v>168</v>
      </c>
      <c r="D382" t="s">
        <v>168</v>
      </c>
      <c r="F382" t="s">
        <v>2710</v>
      </c>
      <c r="G382">
        <v>2017</v>
      </c>
      <c r="H382" t="s">
        <v>2520</v>
      </c>
      <c r="I382" t="s">
        <v>961</v>
      </c>
      <c r="J382" t="s">
        <v>961</v>
      </c>
      <c r="K382" t="s">
        <v>2612</v>
      </c>
      <c r="O382">
        <v>10.9</v>
      </c>
      <c r="P382">
        <v>14.7</v>
      </c>
      <c r="Q382">
        <v>37</v>
      </c>
      <c r="R382" s="716">
        <v>720</v>
      </c>
      <c r="S382" s="716"/>
      <c r="U382">
        <v>6.8</v>
      </c>
      <c r="V382">
        <v>6.6</v>
      </c>
      <c r="W382">
        <v>30</v>
      </c>
      <c r="Y382">
        <v>-0.36</v>
      </c>
      <c r="AA382">
        <v>1</v>
      </c>
      <c r="AB382">
        <v>-0.61</v>
      </c>
      <c r="AD382">
        <v>1</v>
      </c>
      <c r="AK382">
        <v>1</v>
      </c>
      <c r="AL382" t="s">
        <v>48</v>
      </c>
      <c r="AM382" t="s">
        <v>32</v>
      </c>
      <c r="AN382" t="s">
        <v>41</v>
      </c>
    </row>
    <row r="383" spans="1:40" customFormat="1" ht="18" customHeight="1">
      <c r="A383">
        <v>377</v>
      </c>
      <c r="B383" t="s">
        <v>1553</v>
      </c>
      <c r="C383" t="s">
        <v>114</v>
      </c>
      <c r="D383" t="s">
        <v>114</v>
      </c>
      <c r="E383" t="s">
        <v>2566</v>
      </c>
      <c r="F383" t="s">
        <v>1502</v>
      </c>
      <c r="G383">
        <v>2001</v>
      </c>
      <c r="H383" t="s">
        <v>1130</v>
      </c>
      <c r="K383" t="s">
        <v>1131</v>
      </c>
      <c r="L383" t="s">
        <v>340</v>
      </c>
      <c r="M383" t="s">
        <v>1129</v>
      </c>
      <c r="O383">
        <v>0.9</v>
      </c>
      <c r="P383">
        <v>0.11</v>
      </c>
      <c r="Q383">
        <v>18</v>
      </c>
      <c r="R383" s="716" t="s">
        <v>1149</v>
      </c>
      <c r="S383" s="716"/>
      <c r="U383">
        <v>0.9</v>
      </c>
      <c r="V383">
        <v>0.1</v>
      </c>
      <c r="W383">
        <v>16</v>
      </c>
      <c r="AA383">
        <v>-1</v>
      </c>
      <c r="AB383">
        <v>-0.28999999999999998</v>
      </c>
      <c r="AD383">
        <v>1</v>
      </c>
      <c r="AF383">
        <v>17.88</v>
      </c>
      <c r="AG383">
        <v>2.74</v>
      </c>
      <c r="AI383">
        <v>16.32</v>
      </c>
      <c r="AJ383">
        <v>2.92</v>
      </c>
    </row>
    <row r="384" spans="1:40" customFormat="1" ht="18" customHeight="1">
      <c r="A384">
        <v>378</v>
      </c>
      <c r="B384" t="s">
        <v>1553</v>
      </c>
      <c r="C384" t="s">
        <v>114</v>
      </c>
      <c r="D384" t="s">
        <v>114</v>
      </c>
      <c r="E384" t="s">
        <v>2566</v>
      </c>
      <c r="F384" t="s">
        <v>1502</v>
      </c>
      <c r="G384">
        <v>2001</v>
      </c>
      <c r="H384" t="s">
        <v>1130</v>
      </c>
      <c r="K384" t="s">
        <v>1132</v>
      </c>
      <c r="L384" t="s">
        <v>340</v>
      </c>
      <c r="M384" t="s">
        <v>1133</v>
      </c>
      <c r="O384">
        <v>0.7</v>
      </c>
      <c r="P384">
        <v>0.16</v>
      </c>
      <c r="Q384">
        <v>18</v>
      </c>
      <c r="R384" s="716" t="s">
        <v>1149</v>
      </c>
      <c r="S384" s="716"/>
      <c r="U384">
        <v>0.8</v>
      </c>
      <c r="V384">
        <v>0.16</v>
      </c>
      <c r="W384">
        <v>16</v>
      </c>
      <c r="AA384">
        <v>-1</v>
      </c>
      <c r="AB384">
        <v>-0.31</v>
      </c>
      <c r="AD384">
        <v>1</v>
      </c>
      <c r="AF384">
        <v>17.88</v>
      </c>
      <c r="AG384">
        <v>2.74</v>
      </c>
      <c r="AI384">
        <v>16.32</v>
      </c>
      <c r="AJ384">
        <v>2.92</v>
      </c>
    </row>
    <row r="385" spans="1:40" customFormat="1" ht="18" customHeight="1">
      <c r="A385">
        <v>379</v>
      </c>
      <c r="B385" t="s">
        <v>908</v>
      </c>
      <c r="C385" t="s">
        <v>114</v>
      </c>
      <c r="D385" t="s">
        <v>114</v>
      </c>
      <c r="E385" t="s">
        <v>2566</v>
      </c>
      <c r="F385" t="s">
        <v>2710</v>
      </c>
      <c r="G385">
        <v>2017</v>
      </c>
      <c r="H385" t="s">
        <v>117</v>
      </c>
      <c r="O385">
        <v>14.1</v>
      </c>
      <c r="P385">
        <v>8.5</v>
      </c>
      <c r="Q385">
        <v>37</v>
      </c>
      <c r="R385" s="716">
        <v>720</v>
      </c>
      <c r="S385" s="716"/>
      <c r="U385">
        <v>10.5</v>
      </c>
      <c r="V385">
        <v>8.3000000000000007</v>
      </c>
      <c r="W385">
        <v>30</v>
      </c>
      <c r="Y385">
        <v>-0.43</v>
      </c>
      <c r="AA385">
        <v>1</v>
      </c>
      <c r="AB385">
        <v>-0.43</v>
      </c>
      <c r="AD385">
        <v>1</v>
      </c>
      <c r="AK385">
        <v>1</v>
      </c>
      <c r="AL385" t="s">
        <v>48</v>
      </c>
      <c r="AM385" t="s">
        <v>32</v>
      </c>
      <c r="AN385" t="s">
        <v>41</v>
      </c>
    </row>
    <row r="386" spans="1:40" customFormat="1" ht="18" customHeight="1">
      <c r="A386">
        <v>380</v>
      </c>
      <c r="B386" t="s">
        <v>908</v>
      </c>
      <c r="C386" t="s">
        <v>114</v>
      </c>
      <c r="D386" t="s">
        <v>114</v>
      </c>
      <c r="E386" t="s">
        <v>2566</v>
      </c>
      <c r="F386" t="s">
        <v>54</v>
      </c>
      <c r="G386">
        <v>2020</v>
      </c>
      <c r="H386" t="s">
        <v>117</v>
      </c>
      <c r="O386">
        <v>2.2999999999999998</v>
      </c>
      <c r="P386">
        <v>2.2000000000000002</v>
      </c>
      <c r="Q386">
        <v>19</v>
      </c>
      <c r="R386" s="716">
        <v>1042</v>
      </c>
      <c r="S386" s="716"/>
      <c r="U386">
        <v>1.2</v>
      </c>
      <c r="V386">
        <v>1.3</v>
      </c>
      <c r="W386">
        <v>19</v>
      </c>
      <c r="Y386">
        <v>-0.61</v>
      </c>
      <c r="AA386">
        <v>1</v>
      </c>
      <c r="AB386">
        <v>-0.83</v>
      </c>
      <c r="AD386">
        <v>1</v>
      </c>
      <c r="AK386">
        <v>1</v>
      </c>
      <c r="AL386" t="s">
        <v>48</v>
      </c>
      <c r="AM386" t="s">
        <v>24</v>
      </c>
      <c r="AN386" t="s">
        <v>41</v>
      </c>
    </row>
    <row r="387" spans="1:40" customFormat="1" ht="18" customHeight="1">
      <c r="A387">
        <v>381</v>
      </c>
      <c r="B387" t="s">
        <v>908</v>
      </c>
      <c r="C387" t="s">
        <v>114</v>
      </c>
      <c r="D387" t="s">
        <v>114</v>
      </c>
      <c r="E387" t="s">
        <v>2566</v>
      </c>
      <c r="F387" t="s">
        <v>2710</v>
      </c>
      <c r="G387">
        <v>2017</v>
      </c>
      <c r="H387" t="s">
        <v>118</v>
      </c>
      <c r="K387" t="s">
        <v>2609</v>
      </c>
      <c r="O387">
        <v>3.1</v>
      </c>
      <c r="P387">
        <v>3.82</v>
      </c>
      <c r="Q387">
        <v>37</v>
      </c>
      <c r="R387" s="716">
        <v>720</v>
      </c>
      <c r="S387" s="716"/>
      <c r="U387">
        <v>1.9</v>
      </c>
      <c r="V387">
        <v>1.9</v>
      </c>
      <c r="W387">
        <v>30</v>
      </c>
      <c r="Y387">
        <v>-0.4</v>
      </c>
      <c r="AA387">
        <v>1</v>
      </c>
      <c r="AB387">
        <v>-0.62</v>
      </c>
      <c r="AD387">
        <v>1</v>
      </c>
      <c r="AK387">
        <v>1</v>
      </c>
      <c r="AL387" t="s">
        <v>48</v>
      </c>
      <c r="AM387" t="s">
        <v>32</v>
      </c>
      <c r="AN387" t="s">
        <v>41</v>
      </c>
    </row>
    <row r="388" spans="1:40" customFormat="1" ht="18" customHeight="1">
      <c r="A388">
        <v>382</v>
      </c>
      <c r="B388" t="s">
        <v>908</v>
      </c>
      <c r="C388" t="s">
        <v>114</v>
      </c>
      <c r="D388" t="s">
        <v>114</v>
      </c>
      <c r="E388" t="s">
        <v>2566</v>
      </c>
      <c r="F388" t="s">
        <v>29</v>
      </c>
      <c r="G388">
        <v>2004</v>
      </c>
      <c r="H388" t="s">
        <v>2521</v>
      </c>
      <c r="K388" t="s">
        <v>1542</v>
      </c>
      <c r="O388">
        <v>63.3</v>
      </c>
      <c r="P388">
        <v>19.059999999999999</v>
      </c>
      <c r="Q388">
        <v>20</v>
      </c>
      <c r="R388" s="716">
        <v>859</v>
      </c>
      <c r="S388" s="716"/>
      <c r="U388">
        <v>70.599999999999994</v>
      </c>
      <c r="V388">
        <v>18.579999999999998</v>
      </c>
      <c r="W388">
        <v>20</v>
      </c>
      <c r="Y388">
        <v>0.39</v>
      </c>
      <c r="AA388">
        <v>-1</v>
      </c>
      <c r="AB388">
        <v>-0.39</v>
      </c>
      <c r="AD388">
        <v>1</v>
      </c>
      <c r="AK388">
        <v>2</v>
      </c>
      <c r="AL388" t="s">
        <v>31</v>
      </c>
      <c r="AM388" t="s">
        <v>32</v>
      </c>
      <c r="AN388" t="s">
        <v>31</v>
      </c>
    </row>
    <row r="389" spans="1:40" customFormat="1" ht="18" customHeight="1">
      <c r="A389">
        <v>383</v>
      </c>
      <c r="B389" t="s">
        <v>908</v>
      </c>
      <c r="C389" t="s">
        <v>114</v>
      </c>
      <c r="D389" t="s">
        <v>114</v>
      </c>
      <c r="E389" t="s">
        <v>2566</v>
      </c>
      <c r="F389" t="s">
        <v>43</v>
      </c>
      <c r="G389">
        <v>2015</v>
      </c>
      <c r="H389" t="s">
        <v>2521</v>
      </c>
      <c r="K389" t="s">
        <v>1545</v>
      </c>
      <c r="O389">
        <v>44.6</v>
      </c>
      <c r="P389">
        <v>37.18</v>
      </c>
      <c r="Q389">
        <v>14</v>
      </c>
      <c r="R389" s="716" t="s">
        <v>24</v>
      </c>
      <c r="S389" s="716"/>
      <c r="U389">
        <v>57.1</v>
      </c>
      <c r="V389">
        <v>35.01</v>
      </c>
      <c r="W389">
        <v>14</v>
      </c>
      <c r="Y389">
        <v>0.35</v>
      </c>
      <c r="AA389">
        <v>-1</v>
      </c>
      <c r="AB389">
        <v>-0.35</v>
      </c>
      <c r="AD389">
        <v>1</v>
      </c>
      <c r="AK389">
        <v>3</v>
      </c>
      <c r="AL389" t="s">
        <v>44</v>
      </c>
      <c r="AM389" t="s">
        <v>32</v>
      </c>
      <c r="AN389" t="s">
        <v>44</v>
      </c>
    </row>
    <row r="390" spans="1:40" customFormat="1" ht="18" customHeight="1">
      <c r="A390">
        <v>384</v>
      </c>
      <c r="B390" t="s">
        <v>908</v>
      </c>
      <c r="C390" t="s">
        <v>114</v>
      </c>
      <c r="D390" t="s">
        <v>114</v>
      </c>
      <c r="E390" t="s">
        <v>2566</v>
      </c>
      <c r="F390" t="s">
        <v>51</v>
      </c>
      <c r="G390">
        <v>2021</v>
      </c>
      <c r="H390" t="s">
        <v>2521</v>
      </c>
      <c r="K390" t="s">
        <v>1544</v>
      </c>
      <c r="O390">
        <v>21</v>
      </c>
      <c r="P390">
        <v>11.21</v>
      </c>
      <c r="Q390">
        <v>19</v>
      </c>
      <c r="R390" s="716">
        <v>890</v>
      </c>
      <c r="S390" s="716"/>
      <c r="U390">
        <v>30</v>
      </c>
      <c r="V390">
        <v>3.14</v>
      </c>
      <c r="W390">
        <v>25</v>
      </c>
      <c r="Y390">
        <v>1.0900000000000001</v>
      </c>
      <c r="AA390">
        <v>-1</v>
      </c>
      <c r="AB390">
        <v>-2.81</v>
      </c>
      <c r="AD390">
        <v>1</v>
      </c>
      <c r="AK390">
        <v>2</v>
      </c>
    </row>
    <row r="391" spans="1:40" customFormat="1" ht="18" customHeight="1">
      <c r="A391">
        <v>385</v>
      </c>
      <c r="B391" t="s">
        <v>908</v>
      </c>
      <c r="C391" t="s">
        <v>114</v>
      </c>
      <c r="D391" t="s">
        <v>114</v>
      </c>
      <c r="E391" t="s">
        <v>2566</v>
      </c>
      <c r="F391" t="s">
        <v>53</v>
      </c>
      <c r="G391">
        <v>1994</v>
      </c>
      <c r="H391" t="s">
        <v>2521</v>
      </c>
      <c r="K391" t="s">
        <v>119</v>
      </c>
      <c r="O391">
        <v>64</v>
      </c>
      <c r="P391">
        <v>10</v>
      </c>
      <c r="Q391">
        <v>25</v>
      </c>
      <c r="R391" s="716">
        <v>1332</v>
      </c>
      <c r="S391" s="716"/>
      <c r="U391">
        <v>69</v>
      </c>
      <c r="V391">
        <v>2</v>
      </c>
      <c r="W391">
        <v>15</v>
      </c>
      <c r="Y391">
        <v>0.69</v>
      </c>
      <c r="AA391">
        <v>-1</v>
      </c>
      <c r="AB391">
        <v>-2.4500000000000002</v>
      </c>
      <c r="AD391">
        <v>1</v>
      </c>
      <c r="AK391">
        <v>2</v>
      </c>
      <c r="AL391" t="s">
        <v>31</v>
      </c>
      <c r="AM391" t="s">
        <v>32</v>
      </c>
      <c r="AN391" t="s">
        <v>31</v>
      </c>
    </row>
    <row r="392" spans="1:40" customFormat="1" ht="18" customHeight="1">
      <c r="A392">
        <v>386</v>
      </c>
      <c r="B392" t="s">
        <v>1353</v>
      </c>
      <c r="C392" t="s">
        <v>114</v>
      </c>
      <c r="D392" t="s">
        <v>114</v>
      </c>
      <c r="E392" t="s">
        <v>2566</v>
      </c>
      <c r="F392" t="s">
        <v>1390</v>
      </c>
      <c r="G392">
        <v>2003</v>
      </c>
      <c r="H392" t="s">
        <v>2521</v>
      </c>
      <c r="K392" t="s">
        <v>1200</v>
      </c>
      <c r="O392">
        <v>43.8</v>
      </c>
      <c r="P392">
        <v>7.5</v>
      </c>
      <c r="Q392">
        <v>46</v>
      </c>
      <c r="R392" s="716">
        <v>490</v>
      </c>
      <c r="S392" s="716">
        <v>375</v>
      </c>
      <c r="U392">
        <v>49.7</v>
      </c>
      <c r="V392">
        <v>5.9</v>
      </c>
      <c r="W392">
        <v>18</v>
      </c>
      <c r="AA392">
        <v>-1</v>
      </c>
      <c r="AB392">
        <v>-0.99</v>
      </c>
      <c r="AD392">
        <v>1</v>
      </c>
      <c r="AF392">
        <v>10.75</v>
      </c>
      <c r="AG392">
        <v>2.1</v>
      </c>
      <c r="AI392">
        <v>13.1</v>
      </c>
      <c r="AJ392">
        <v>3.2</v>
      </c>
    </row>
    <row r="393" spans="1:40" customFormat="1" ht="18" customHeight="1">
      <c r="A393">
        <v>387</v>
      </c>
      <c r="B393" t="s">
        <v>1353</v>
      </c>
      <c r="C393" t="s">
        <v>114</v>
      </c>
      <c r="D393" t="s">
        <v>114</v>
      </c>
      <c r="E393" t="s">
        <v>2566</v>
      </c>
      <c r="F393" t="s">
        <v>1390</v>
      </c>
      <c r="G393">
        <v>2003</v>
      </c>
      <c r="H393" t="s">
        <v>2521</v>
      </c>
      <c r="K393" t="s">
        <v>2569</v>
      </c>
      <c r="O393">
        <v>42.7</v>
      </c>
      <c r="P393">
        <v>8.6999999999999993</v>
      </c>
      <c r="Q393">
        <v>46</v>
      </c>
      <c r="R393" s="716">
        <v>490</v>
      </c>
      <c r="S393" s="716">
        <v>375</v>
      </c>
      <c r="U393">
        <v>50.3</v>
      </c>
      <c r="V393">
        <v>8.1999999999999993</v>
      </c>
      <c r="W393">
        <v>18</v>
      </c>
      <c r="AA393">
        <v>-1</v>
      </c>
      <c r="AB393">
        <v>-0.92</v>
      </c>
      <c r="AD393">
        <v>1</v>
      </c>
      <c r="AF393">
        <v>10.75</v>
      </c>
      <c r="AG393">
        <v>2.1</v>
      </c>
      <c r="AI393">
        <v>13.1</v>
      </c>
      <c r="AJ393">
        <v>3.2</v>
      </c>
    </row>
    <row r="394" spans="1:40" customFormat="1" ht="18" customHeight="1">
      <c r="A394">
        <v>388</v>
      </c>
      <c r="B394" t="s">
        <v>1353</v>
      </c>
      <c r="C394" t="s">
        <v>114</v>
      </c>
      <c r="D394" t="s">
        <v>114</v>
      </c>
      <c r="E394" t="s">
        <v>2566</v>
      </c>
      <c r="F394" t="s">
        <v>1394</v>
      </c>
      <c r="G394">
        <v>2010</v>
      </c>
      <c r="H394" t="s">
        <v>2521</v>
      </c>
      <c r="K394" t="s">
        <v>1212</v>
      </c>
      <c r="O394">
        <v>19.5</v>
      </c>
      <c r="P394">
        <v>6.93</v>
      </c>
      <c r="Q394">
        <v>14</v>
      </c>
      <c r="R394" s="716">
        <v>491</v>
      </c>
      <c r="S394" s="716">
        <v>149</v>
      </c>
      <c r="U394">
        <v>24.9</v>
      </c>
      <c r="V394">
        <v>6.85</v>
      </c>
      <c r="W394">
        <v>14</v>
      </c>
      <c r="AA394">
        <v>-1</v>
      </c>
      <c r="AB394">
        <v>-0.76</v>
      </c>
      <c r="AD394">
        <v>1</v>
      </c>
      <c r="AF394">
        <v>10.8</v>
      </c>
      <c r="AG394">
        <v>1.25</v>
      </c>
      <c r="AI394">
        <v>10.9</v>
      </c>
      <c r="AJ394">
        <v>1.3</v>
      </c>
    </row>
    <row r="395" spans="1:40" customFormat="1" ht="18" customHeight="1">
      <c r="A395">
        <v>389</v>
      </c>
      <c r="B395" t="s">
        <v>1353</v>
      </c>
      <c r="C395" t="s">
        <v>114</v>
      </c>
      <c r="D395" t="s">
        <v>114</v>
      </c>
      <c r="E395" t="s">
        <v>2566</v>
      </c>
      <c r="F395" t="s">
        <v>1393</v>
      </c>
      <c r="G395">
        <v>2005</v>
      </c>
      <c r="H395" t="s">
        <v>2521</v>
      </c>
      <c r="K395" t="s">
        <v>1314</v>
      </c>
      <c r="O395">
        <v>53</v>
      </c>
      <c r="P395">
        <v>10</v>
      </c>
      <c r="Q395">
        <v>26</v>
      </c>
      <c r="R395" s="716">
        <v>489</v>
      </c>
      <c r="S395" s="716">
        <v>181</v>
      </c>
      <c r="U395">
        <v>59</v>
      </c>
      <c r="V395">
        <v>11</v>
      </c>
      <c r="W395">
        <v>21</v>
      </c>
      <c r="AA395">
        <v>-1</v>
      </c>
      <c r="AB395">
        <v>-0.54</v>
      </c>
      <c r="AD395">
        <v>1</v>
      </c>
      <c r="AF395">
        <v>12.3</v>
      </c>
      <c r="AG395">
        <v>3.7</v>
      </c>
      <c r="AI395">
        <v>11.8</v>
      </c>
      <c r="AJ395">
        <v>3.6</v>
      </c>
    </row>
    <row r="396" spans="1:40" customFormat="1" ht="18" customHeight="1">
      <c r="A396">
        <v>390</v>
      </c>
      <c r="B396" t="s">
        <v>908</v>
      </c>
      <c r="C396" t="s">
        <v>114</v>
      </c>
      <c r="D396" t="s">
        <v>114</v>
      </c>
      <c r="E396" t="s">
        <v>2566</v>
      </c>
      <c r="F396" t="s">
        <v>29</v>
      </c>
      <c r="G396">
        <v>2004</v>
      </c>
      <c r="H396" t="s">
        <v>2522</v>
      </c>
      <c r="K396" t="s">
        <v>1543</v>
      </c>
      <c r="O396">
        <v>58.8</v>
      </c>
      <c r="P396">
        <v>4.3499999999999996</v>
      </c>
      <c r="Q396">
        <v>20</v>
      </c>
      <c r="R396" s="716">
        <v>859</v>
      </c>
      <c r="S396" s="716"/>
      <c r="U396">
        <v>59.9</v>
      </c>
      <c r="V396">
        <v>5.0599999999999996</v>
      </c>
      <c r="W396">
        <v>20</v>
      </c>
      <c r="Y396">
        <v>0.24</v>
      </c>
      <c r="AA396">
        <v>-1</v>
      </c>
      <c r="AB396">
        <v>-0.22</v>
      </c>
      <c r="AD396">
        <v>1</v>
      </c>
      <c r="AK396">
        <v>2</v>
      </c>
      <c r="AL396" t="s">
        <v>31</v>
      </c>
      <c r="AM396" t="s">
        <v>32</v>
      </c>
      <c r="AN396" t="s">
        <v>31</v>
      </c>
    </row>
    <row r="397" spans="1:40" customFormat="1" ht="18" customHeight="1">
      <c r="A397">
        <v>391</v>
      </c>
      <c r="B397" t="s">
        <v>1353</v>
      </c>
      <c r="C397" t="s">
        <v>114</v>
      </c>
      <c r="D397" t="s">
        <v>114</v>
      </c>
      <c r="E397" t="s">
        <v>2566</v>
      </c>
      <c r="F397" t="s">
        <v>2124</v>
      </c>
      <c r="G397">
        <v>1995</v>
      </c>
      <c r="H397" t="s">
        <v>2133</v>
      </c>
      <c r="K397" t="s">
        <v>2134</v>
      </c>
      <c r="O397">
        <v>10.5</v>
      </c>
      <c r="P397">
        <v>4.74</v>
      </c>
      <c r="Q397">
        <v>10</v>
      </c>
      <c r="R397" s="716">
        <v>348</v>
      </c>
      <c r="S397" s="716"/>
      <c r="U397">
        <v>13.1</v>
      </c>
      <c r="V397">
        <v>4.9800000000000004</v>
      </c>
      <c r="W397">
        <v>10</v>
      </c>
      <c r="AA397">
        <v>-1</v>
      </c>
      <c r="AB397">
        <v>-0.5</v>
      </c>
      <c r="AD397">
        <v>1</v>
      </c>
      <c r="AF397">
        <v>7.53</v>
      </c>
      <c r="AG397" t="s">
        <v>24</v>
      </c>
      <c r="AI397">
        <v>7.59</v>
      </c>
      <c r="AJ397" t="s">
        <v>24</v>
      </c>
      <c r="AL397" t="s">
        <v>2075</v>
      </c>
    </row>
    <row r="398" spans="1:40" customFormat="1" ht="18" customHeight="1">
      <c r="A398">
        <v>392</v>
      </c>
      <c r="B398" t="s">
        <v>1553</v>
      </c>
      <c r="C398" t="s">
        <v>114</v>
      </c>
      <c r="D398" t="s">
        <v>114</v>
      </c>
      <c r="E398" t="s">
        <v>2566</v>
      </c>
      <c r="F398" t="s">
        <v>2124</v>
      </c>
      <c r="G398">
        <v>1995</v>
      </c>
      <c r="H398" t="s">
        <v>2133</v>
      </c>
      <c r="K398" t="s">
        <v>2134</v>
      </c>
      <c r="O398">
        <v>14.5</v>
      </c>
      <c r="P398">
        <v>3.95</v>
      </c>
      <c r="Q398">
        <v>10</v>
      </c>
      <c r="R398" s="716">
        <v>1014</v>
      </c>
      <c r="S398" s="716">
        <v>216</v>
      </c>
      <c r="U398">
        <v>17.600000000000001</v>
      </c>
      <c r="V398">
        <v>1.08</v>
      </c>
      <c r="W398">
        <v>10</v>
      </c>
      <c r="AA398">
        <v>-1</v>
      </c>
      <c r="AB398">
        <v>-2.75</v>
      </c>
      <c r="AD398">
        <v>1</v>
      </c>
      <c r="AF398">
        <v>20.6</v>
      </c>
      <c r="AG398">
        <v>3.8</v>
      </c>
      <c r="AH398" t="s">
        <v>2147</v>
      </c>
    </row>
    <row r="399" spans="1:40" customFormat="1" ht="18" customHeight="1">
      <c r="A399">
        <v>393</v>
      </c>
      <c r="B399" t="s">
        <v>908</v>
      </c>
      <c r="C399" t="s">
        <v>114</v>
      </c>
      <c r="D399" t="s">
        <v>114</v>
      </c>
      <c r="E399" t="s">
        <v>2566</v>
      </c>
      <c r="F399" t="s">
        <v>2478</v>
      </c>
      <c r="G399">
        <v>2023</v>
      </c>
      <c r="H399" t="s">
        <v>1703</v>
      </c>
      <c r="K399" t="s">
        <v>1704</v>
      </c>
      <c r="L399" t="s">
        <v>1705</v>
      </c>
      <c r="M399" t="s">
        <v>1689</v>
      </c>
      <c r="O399">
        <v>21.2</v>
      </c>
      <c r="P399">
        <v>7.13</v>
      </c>
      <c r="Q399">
        <v>20</v>
      </c>
      <c r="R399" s="716">
        <v>586</v>
      </c>
      <c r="S399" s="716">
        <v>420</v>
      </c>
      <c r="U399">
        <v>25.9</v>
      </c>
      <c r="V399">
        <v>4.6100000000000003</v>
      </c>
      <c r="W399">
        <v>20</v>
      </c>
      <c r="X399" t="s">
        <v>1149</v>
      </c>
      <c r="Y399">
        <v>0.36</v>
      </c>
      <c r="AA399">
        <v>-1</v>
      </c>
      <c r="AB399">
        <v>-0.99</v>
      </c>
      <c r="AD399">
        <v>0</v>
      </c>
      <c r="AF399" t="s">
        <v>1149</v>
      </c>
    </row>
    <row r="400" spans="1:40" customFormat="1" ht="18" customHeight="1">
      <c r="A400">
        <v>394</v>
      </c>
      <c r="B400" t="s">
        <v>908</v>
      </c>
      <c r="C400" t="s">
        <v>114</v>
      </c>
      <c r="D400" t="s">
        <v>114</v>
      </c>
      <c r="E400" t="s">
        <v>2566</v>
      </c>
      <c r="F400" t="s">
        <v>37</v>
      </c>
      <c r="G400">
        <v>2007</v>
      </c>
      <c r="H400" t="s">
        <v>115</v>
      </c>
      <c r="K400" t="s">
        <v>116</v>
      </c>
      <c r="O400">
        <v>95</v>
      </c>
      <c r="P400">
        <v>13.9</v>
      </c>
      <c r="Q400">
        <v>12</v>
      </c>
      <c r="R400" s="716" t="s">
        <v>24</v>
      </c>
      <c r="S400" s="716"/>
      <c r="U400">
        <v>97</v>
      </c>
      <c r="V400">
        <v>2.9</v>
      </c>
      <c r="W400">
        <v>12</v>
      </c>
      <c r="Y400">
        <v>0.2</v>
      </c>
      <c r="AA400">
        <v>-1</v>
      </c>
      <c r="AB400">
        <v>-0.67</v>
      </c>
      <c r="AD400">
        <v>1</v>
      </c>
      <c r="AK400">
        <v>1</v>
      </c>
      <c r="AL400" t="s">
        <v>39</v>
      </c>
      <c r="AM400" t="s">
        <v>110</v>
      </c>
      <c r="AN400" t="s">
        <v>41</v>
      </c>
    </row>
    <row r="401" spans="1:40" customFormat="1" ht="18" customHeight="1">
      <c r="A401">
        <v>395</v>
      </c>
      <c r="B401" t="s">
        <v>908</v>
      </c>
      <c r="C401" t="s">
        <v>1075</v>
      </c>
      <c r="D401" t="s">
        <v>1075</v>
      </c>
      <c r="E401" t="s">
        <v>2566</v>
      </c>
      <c r="F401" t="s">
        <v>1847</v>
      </c>
      <c r="G401">
        <v>2023</v>
      </c>
      <c r="H401" t="s">
        <v>1709</v>
      </c>
      <c r="K401" t="s">
        <v>1690</v>
      </c>
      <c r="L401" t="s">
        <v>2056</v>
      </c>
      <c r="M401" t="s">
        <v>1637</v>
      </c>
      <c r="O401">
        <v>54</v>
      </c>
      <c r="P401">
        <v>11.5</v>
      </c>
      <c r="Q401">
        <v>40</v>
      </c>
      <c r="R401" s="716">
        <v>589</v>
      </c>
      <c r="S401" s="716">
        <v>444</v>
      </c>
      <c r="U401">
        <v>58</v>
      </c>
      <c r="V401">
        <v>11.8</v>
      </c>
      <c r="W401">
        <v>32</v>
      </c>
      <c r="X401" t="s">
        <v>1149</v>
      </c>
      <c r="AA401">
        <v>-1</v>
      </c>
      <c r="AB401">
        <v>-0.34</v>
      </c>
      <c r="AD401">
        <v>1</v>
      </c>
      <c r="AF401" t="s">
        <v>1149</v>
      </c>
    </row>
    <row r="402" spans="1:40" customFormat="1" ht="18" customHeight="1">
      <c r="A402">
        <v>396</v>
      </c>
      <c r="B402" t="s">
        <v>908</v>
      </c>
      <c r="C402" t="s">
        <v>1075</v>
      </c>
      <c r="D402" t="s">
        <v>1075</v>
      </c>
      <c r="E402" t="s">
        <v>2566</v>
      </c>
      <c r="F402" t="s">
        <v>2710</v>
      </c>
      <c r="G402">
        <v>2017</v>
      </c>
      <c r="H402" t="s">
        <v>1122</v>
      </c>
      <c r="K402" t="s">
        <v>105</v>
      </c>
      <c r="O402">
        <v>5.3</v>
      </c>
      <c r="P402">
        <v>0.9</v>
      </c>
      <c r="Q402">
        <v>37</v>
      </c>
      <c r="R402" s="716">
        <v>720</v>
      </c>
      <c r="S402" s="716"/>
      <c r="U402">
        <v>5.7</v>
      </c>
      <c r="V402">
        <v>0.9</v>
      </c>
      <c r="W402">
        <v>30</v>
      </c>
      <c r="Y402">
        <v>0.44</v>
      </c>
      <c r="AA402">
        <v>-1</v>
      </c>
      <c r="AB402">
        <v>-0.44</v>
      </c>
      <c r="AD402">
        <v>1</v>
      </c>
      <c r="AK402">
        <v>1</v>
      </c>
      <c r="AL402" t="s">
        <v>48</v>
      </c>
      <c r="AM402" t="s">
        <v>32</v>
      </c>
      <c r="AN402" t="s">
        <v>41</v>
      </c>
    </row>
    <row r="403" spans="1:40" customFormat="1" ht="18" customHeight="1">
      <c r="A403">
        <v>397</v>
      </c>
      <c r="B403" t="s">
        <v>908</v>
      </c>
      <c r="C403" t="s">
        <v>1075</v>
      </c>
      <c r="D403" t="s">
        <v>1075</v>
      </c>
      <c r="E403" t="s">
        <v>2566</v>
      </c>
      <c r="F403" t="s">
        <v>54</v>
      </c>
      <c r="G403">
        <v>2020</v>
      </c>
      <c r="H403" t="s">
        <v>1122</v>
      </c>
      <c r="K403" t="s">
        <v>105</v>
      </c>
      <c r="O403">
        <v>5.9</v>
      </c>
      <c r="P403">
        <v>1</v>
      </c>
      <c r="Q403">
        <v>19</v>
      </c>
      <c r="R403" s="716">
        <v>1042</v>
      </c>
      <c r="S403" s="716"/>
      <c r="U403">
        <v>5</v>
      </c>
      <c r="V403">
        <v>1.1000000000000001</v>
      </c>
      <c r="W403">
        <v>19</v>
      </c>
      <c r="Y403">
        <v>-0.86</v>
      </c>
      <c r="AA403">
        <v>-1</v>
      </c>
      <c r="AB403">
        <v>0.8</v>
      </c>
      <c r="AD403">
        <v>1</v>
      </c>
    </row>
    <row r="404" spans="1:40" customFormat="1" ht="18" customHeight="1">
      <c r="A404">
        <v>398</v>
      </c>
      <c r="B404" t="s">
        <v>1353</v>
      </c>
      <c r="C404" t="s">
        <v>1075</v>
      </c>
      <c r="D404" t="s">
        <v>1075</v>
      </c>
      <c r="E404" t="s">
        <v>2566</v>
      </c>
      <c r="F404" t="s">
        <v>1392</v>
      </c>
      <c r="G404">
        <v>2018</v>
      </c>
      <c r="H404" t="s">
        <v>1122</v>
      </c>
      <c r="O404">
        <v>4.9000000000000004</v>
      </c>
      <c r="P404">
        <v>0.9</v>
      </c>
      <c r="Q404">
        <v>11</v>
      </c>
      <c r="R404" s="716">
        <v>743</v>
      </c>
      <c r="S404" s="716">
        <v>84</v>
      </c>
      <c r="U404">
        <v>4.3</v>
      </c>
      <c r="V404">
        <v>1</v>
      </c>
      <c r="W404">
        <v>28</v>
      </c>
      <c r="AA404">
        <v>-1</v>
      </c>
      <c r="AB404">
        <v>0.59</v>
      </c>
      <c r="AD404">
        <v>1</v>
      </c>
      <c r="AF404">
        <v>13</v>
      </c>
      <c r="AG404">
        <v>2.5</v>
      </c>
      <c r="AI404">
        <v>11.8</v>
      </c>
      <c r="AJ404">
        <v>2.5</v>
      </c>
    </row>
    <row r="405" spans="1:40" customFormat="1" ht="18" customHeight="1">
      <c r="A405">
        <v>399</v>
      </c>
      <c r="B405" t="s">
        <v>1553</v>
      </c>
      <c r="C405" t="s">
        <v>1075</v>
      </c>
      <c r="D405" t="s">
        <v>1075</v>
      </c>
      <c r="E405" t="s">
        <v>2566</v>
      </c>
      <c r="F405" t="s">
        <v>1502</v>
      </c>
      <c r="G405">
        <v>2001</v>
      </c>
      <c r="H405" t="s">
        <v>1122</v>
      </c>
      <c r="L405" t="s">
        <v>309</v>
      </c>
      <c r="M405" t="s">
        <v>993</v>
      </c>
      <c r="O405">
        <v>6.7</v>
      </c>
      <c r="P405">
        <v>1.4</v>
      </c>
      <c r="Q405">
        <v>18</v>
      </c>
      <c r="R405" s="716" t="s">
        <v>1149</v>
      </c>
      <c r="S405" s="716"/>
      <c r="U405">
        <v>6.2</v>
      </c>
      <c r="V405">
        <v>1.4</v>
      </c>
      <c r="W405">
        <v>16</v>
      </c>
      <c r="AA405">
        <v>-1</v>
      </c>
      <c r="AB405">
        <v>0.35</v>
      </c>
      <c r="AD405">
        <v>1</v>
      </c>
      <c r="AF405">
        <v>17.88</v>
      </c>
      <c r="AG405">
        <v>2.74</v>
      </c>
      <c r="AI405">
        <v>16.32</v>
      </c>
      <c r="AJ405">
        <v>2.92</v>
      </c>
    </row>
    <row r="406" spans="1:40" customFormat="1" ht="18" customHeight="1">
      <c r="A406">
        <v>400</v>
      </c>
      <c r="B406" t="s">
        <v>1553</v>
      </c>
      <c r="C406" t="s">
        <v>1075</v>
      </c>
      <c r="D406" t="s">
        <v>1075</v>
      </c>
      <c r="E406" t="s">
        <v>2566</v>
      </c>
      <c r="F406" t="s">
        <v>1502</v>
      </c>
      <c r="G406">
        <v>2001</v>
      </c>
      <c r="H406" t="s">
        <v>1122</v>
      </c>
      <c r="L406" t="s">
        <v>311</v>
      </c>
      <c r="O406">
        <v>0.7</v>
      </c>
      <c r="P406">
        <v>1.7</v>
      </c>
      <c r="Q406">
        <v>18</v>
      </c>
      <c r="R406" s="716" t="s">
        <v>1149</v>
      </c>
      <c r="S406" s="716"/>
      <c r="U406">
        <v>1.6</v>
      </c>
      <c r="V406">
        <v>4.07</v>
      </c>
      <c r="W406">
        <v>16</v>
      </c>
      <c r="AA406">
        <v>-1</v>
      </c>
      <c r="AB406">
        <v>-0.21</v>
      </c>
      <c r="AD406">
        <v>1</v>
      </c>
      <c r="AF406">
        <v>17.88</v>
      </c>
      <c r="AG406">
        <v>2.74</v>
      </c>
      <c r="AI406">
        <v>16.32</v>
      </c>
      <c r="AJ406">
        <v>2.92</v>
      </c>
    </row>
    <row r="407" spans="1:40" customFormat="1" ht="18" customHeight="1">
      <c r="A407">
        <v>401</v>
      </c>
      <c r="B407" t="s">
        <v>1553</v>
      </c>
      <c r="C407" t="s">
        <v>1075</v>
      </c>
      <c r="D407" t="s">
        <v>1075</v>
      </c>
      <c r="E407" t="s">
        <v>2566</v>
      </c>
      <c r="F407" t="s">
        <v>1502</v>
      </c>
      <c r="G407">
        <v>2001</v>
      </c>
      <c r="H407" t="s">
        <v>1122</v>
      </c>
      <c r="L407" t="s">
        <v>313</v>
      </c>
      <c r="O407">
        <v>21.6</v>
      </c>
      <c r="P407">
        <v>16.8</v>
      </c>
      <c r="Q407">
        <v>18</v>
      </c>
      <c r="R407" s="716" t="s">
        <v>1149</v>
      </c>
      <c r="S407" s="716"/>
      <c r="U407">
        <v>30.4</v>
      </c>
      <c r="V407">
        <v>16.899999999999999</v>
      </c>
      <c r="W407">
        <v>16</v>
      </c>
      <c r="AA407">
        <v>-1</v>
      </c>
      <c r="AB407">
        <v>-0.51</v>
      </c>
      <c r="AD407">
        <v>1</v>
      </c>
      <c r="AF407">
        <v>17.88</v>
      </c>
      <c r="AG407">
        <v>2.74</v>
      </c>
      <c r="AI407">
        <v>16.32</v>
      </c>
      <c r="AJ407">
        <v>2.92</v>
      </c>
    </row>
    <row r="408" spans="1:40" customFormat="1" ht="18" customHeight="1">
      <c r="A408">
        <v>402</v>
      </c>
      <c r="B408" t="s">
        <v>1553</v>
      </c>
      <c r="C408" t="s">
        <v>1075</v>
      </c>
      <c r="D408" t="s">
        <v>1075</v>
      </c>
      <c r="E408" t="s">
        <v>2566</v>
      </c>
      <c r="F408" t="s">
        <v>1502</v>
      </c>
      <c r="G408">
        <v>2001</v>
      </c>
      <c r="H408" t="s">
        <v>1122</v>
      </c>
      <c r="L408" t="s">
        <v>314</v>
      </c>
      <c r="O408">
        <v>32.6</v>
      </c>
      <c r="P408">
        <v>4.5999999999999996</v>
      </c>
      <c r="Q408">
        <v>18</v>
      </c>
      <c r="R408" s="716" t="s">
        <v>1149</v>
      </c>
      <c r="S408" s="716"/>
      <c r="U408">
        <v>33.299999999999997</v>
      </c>
      <c r="V408">
        <v>4.33</v>
      </c>
      <c r="W408">
        <v>16</v>
      </c>
      <c r="AA408">
        <v>-1</v>
      </c>
      <c r="AB408">
        <v>-0.16</v>
      </c>
      <c r="AD408">
        <v>1</v>
      </c>
      <c r="AF408">
        <v>17.88</v>
      </c>
      <c r="AG408">
        <v>2.74</v>
      </c>
      <c r="AI408">
        <v>16.32</v>
      </c>
      <c r="AJ408">
        <v>2.92</v>
      </c>
    </row>
    <row r="409" spans="1:40" customFormat="1" ht="18" customHeight="1">
      <c r="A409">
        <v>403</v>
      </c>
      <c r="B409" t="s">
        <v>908</v>
      </c>
      <c r="C409" t="s">
        <v>1075</v>
      </c>
      <c r="D409" t="s">
        <v>1075</v>
      </c>
      <c r="E409" t="s">
        <v>2566</v>
      </c>
      <c r="F409" t="s">
        <v>2464</v>
      </c>
      <c r="G409">
        <v>2017</v>
      </c>
      <c r="H409" t="s">
        <v>2523</v>
      </c>
      <c r="I409" t="s">
        <v>961</v>
      </c>
      <c r="J409" t="s">
        <v>961</v>
      </c>
      <c r="K409" t="s">
        <v>2594</v>
      </c>
      <c r="O409">
        <v>4.5</v>
      </c>
      <c r="P409">
        <v>2.6</v>
      </c>
      <c r="Q409">
        <v>57</v>
      </c>
      <c r="R409" s="716">
        <v>655</v>
      </c>
      <c r="S409" s="716"/>
      <c r="U409">
        <v>3.9</v>
      </c>
      <c r="V409">
        <v>2.6</v>
      </c>
      <c r="W409">
        <v>57</v>
      </c>
      <c r="Y409">
        <v>-0.23</v>
      </c>
      <c r="AA409">
        <v>1</v>
      </c>
      <c r="AB409">
        <v>-0.23</v>
      </c>
      <c r="AD409">
        <v>1</v>
      </c>
      <c r="AK409">
        <v>1</v>
      </c>
      <c r="AL409" t="s">
        <v>48</v>
      </c>
      <c r="AM409" t="s">
        <v>32</v>
      </c>
      <c r="AN409" t="s">
        <v>41</v>
      </c>
    </row>
    <row r="410" spans="1:40" customFormat="1" ht="18" customHeight="1">
      <c r="A410">
        <v>404</v>
      </c>
      <c r="B410" t="s">
        <v>908</v>
      </c>
      <c r="C410" t="s">
        <v>1075</v>
      </c>
      <c r="D410" t="s">
        <v>1075</v>
      </c>
      <c r="E410" t="s">
        <v>2566</v>
      </c>
      <c r="F410" t="s">
        <v>2464</v>
      </c>
      <c r="G410">
        <v>2017</v>
      </c>
      <c r="H410" t="s">
        <v>99</v>
      </c>
      <c r="I410" t="s">
        <v>1419</v>
      </c>
      <c r="J410" t="s">
        <v>1419</v>
      </c>
      <c r="K410" t="s">
        <v>100</v>
      </c>
      <c r="O410">
        <v>1705</v>
      </c>
      <c r="P410">
        <v>457</v>
      </c>
      <c r="Q410">
        <v>57</v>
      </c>
      <c r="R410" s="716">
        <v>655</v>
      </c>
      <c r="S410" s="716"/>
      <c r="U410">
        <v>1539</v>
      </c>
      <c r="V410">
        <v>318</v>
      </c>
      <c r="W410">
        <v>57</v>
      </c>
      <c r="Y410">
        <v>-0.42</v>
      </c>
      <c r="AA410">
        <v>1</v>
      </c>
      <c r="AB410">
        <v>-0.52</v>
      </c>
      <c r="AD410">
        <v>1</v>
      </c>
      <c r="AK410">
        <v>1</v>
      </c>
      <c r="AL410" t="s">
        <v>48</v>
      </c>
      <c r="AM410" t="s">
        <v>32</v>
      </c>
      <c r="AN410" t="s">
        <v>41</v>
      </c>
    </row>
    <row r="411" spans="1:40" customFormat="1" ht="18" customHeight="1">
      <c r="A411">
        <v>405</v>
      </c>
      <c r="B411" t="s">
        <v>908</v>
      </c>
      <c r="C411" t="s">
        <v>1075</v>
      </c>
      <c r="D411" t="s">
        <v>1075</v>
      </c>
      <c r="E411" t="s">
        <v>2566</v>
      </c>
      <c r="F411" t="s">
        <v>29</v>
      </c>
      <c r="G411">
        <v>2004</v>
      </c>
      <c r="H411" t="s">
        <v>1560</v>
      </c>
      <c r="K411" t="s">
        <v>1409</v>
      </c>
      <c r="O411">
        <v>13.5</v>
      </c>
      <c r="P411">
        <v>3.25</v>
      </c>
      <c r="Q411">
        <v>20</v>
      </c>
      <c r="R411" s="716">
        <v>859</v>
      </c>
      <c r="S411" s="716"/>
      <c r="U411">
        <v>17.600000000000001</v>
      </c>
      <c r="V411">
        <v>3.57</v>
      </c>
      <c r="W411">
        <v>20</v>
      </c>
      <c r="Y411">
        <v>1.2</v>
      </c>
      <c r="AA411">
        <v>-1</v>
      </c>
      <c r="AB411">
        <v>-1.1200000000000001</v>
      </c>
      <c r="AD411">
        <v>1</v>
      </c>
      <c r="AK411">
        <v>2</v>
      </c>
      <c r="AL411" t="s">
        <v>31</v>
      </c>
      <c r="AM411" t="s">
        <v>32</v>
      </c>
      <c r="AN411" t="s">
        <v>31</v>
      </c>
    </row>
    <row r="412" spans="1:40" customFormat="1" ht="18" customHeight="1">
      <c r="A412">
        <v>406</v>
      </c>
      <c r="B412" t="s">
        <v>908</v>
      </c>
      <c r="C412" t="s">
        <v>1075</v>
      </c>
      <c r="D412" t="s">
        <v>1075</v>
      </c>
      <c r="E412" t="s">
        <v>2566</v>
      </c>
      <c r="F412" t="s">
        <v>2479</v>
      </c>
      <c r="G412">
        <v>1996</v>
      </c>
      <c r="H412" t="s">
        <v>1560</v>
      </c>
      <c r="K412" t="s">
        <v>1559</v>
      </c>
      <c r="L412" t="s">
        <v>106</v>
      </c>
      <c r="O412">
        <v>9.3000000000000007</v>
      </c>
      <c r="P412">
        <v>3.65</v>
      </c>
      <c r="Q412">
        <v>11</v>
      </c>
      <c r="R412" s="716">
        <v>1545</v>
      </c>
      <c r="S412" s="716"/>
      <c r="U412">
        <v>4.7</v>
      </c>
      <c r="V412">
        <v>2.5299999999999998</v>
      </c>
      <c r="W412">
        <v>22</v>
      </c>
      <c r="Y412">
        <v>-1.47</v>
      </c>
      <c r="AA412">
        <v>1</v>
      </c>
      <c r="AB412">
        <v>-1.78</v>
      </c>
      <c r="AD412">
        <v>1</v>
      </c>
      <c r="AK412" t="s">
        <v>23</v>
      </c>
      <c r="AL412" t="s">
        <v>23</v>
      </c>
      <c r="AM412" t="s">
        <v>24</v>
      </c>
      <c r="AN412" t="s">
        <v>23</v>
      </c>
    </row>
    <row r="413" spans="1:40" customFormat="1" ht="18" customHeight="1">
      <c r="A413">
        <v>407</v>
      </c>
      <c r="B413" t="s">
        <v>908</v>
      </c>
      <c r="C413" t="s">
        <v>1075</v>
      </c>
      <c r="D413" t="s">
        <v>1075</v>
      </c>
      <c r="E413" t="s">
        <v>2566</v>
      </c>
      <c r="F413" t="s">
        <v>2480</v>
      </c>
      <c r="G413">
        <v>1996</v>
      </c>
      <c r="H413" t="s">
        <v>1560</v>
      </c>
      <c r="K413" t="s">
        <v>1559</v>
      </c>
      <c r="L413" t="s">
        <v>106</v>
      </c>
      <c r="O413">
        <v>8.9</v>
      </c>
      <c r="P413">
        <v>4.0599999999999996</v>
      </c>
      <c r="Q413">
        <v>11</v>
      </c>
      <c r="R413" s="716">
        <v>566</v>
      </c>
      <c r="S413" s="716"/>
      <c r="U413">
        <v>4.7</v>
      </c>
      <c r="V413">
        <v>2.5299999999999998</v>
      </c>
      <c r="W413">
        <v>22</v>
      </c>
      <c r="Y413">
        <v>-1.25</v>
      </c>
      <c r="AA413">
        <v>1</v>
      </c>
      <c r="AB413">
        <v>-1.63</v>
      </c>
      <c r="AD413">
        <v>1</v>
      </c>
      <c r="AK413" t="s">
        <v>23</v>
      </c>
      <c r="AL413" t="s">
        <v>23</v>
      </c>
      <c r="AM413" t="s">
        <v>24</v>
      </c>
      <c r="AN413" t="s">
        <v>23</v>
      </c>
    </row>
    <row r="414" spans="1:40" customFormat="1" ht="18" customHeight="1">
      <c r="A414">
        <v>408</v>
      </c>
      <c r="B414" t="s">
        <v>1353</v>
      </c>
      <c r="C414" t="s">
        <v>1075</v>
      </c>
      <c r="D414" t="s">
        <v>1075</v>
      </c>
      <c r="E414" t="s">
        <v>2566</v>
      </c>
      <c r="F414" t="s">
        <v>1395</v>
      </c>
      <c r="G414">
        <v>2000</v>
      </c>
      <c r="H414" t="s">
        <v>1560</v>
      </c>
      <c r="K414" t="s">
        <v>1215</v>
      </c>
      <c r="L414" t="s">
        <v>1277</v>
      </c>
      <c r="O414">
        <v>14.2</v>
      </c>
      <c r="P414">
        <v>6.62</v>
      </c>
      <c r="Q414">
        <v>19</v>
      </c>
      <c r="R414" s="716">
        <v>777</v>
      </c>
      <c r="S414" s="716">
        <v>200</v>
      </c>
      <c r="U414">
        <v>12.5</v>
      </c>
      <c r="V414">
        <v>4.9400000000000004</v>
      </c>
      <c r="W414">
        <v>19</v>
      </c>
      <c r="AA414">
        <v>1</v>
      </c>
      <c r="AB414">
        <v>-0.32</v>
      </c>
      <c r="AD414">
        <v>1</v>
      </c>
      <c r="AF414">
        <v>9.4</v>
      </c>
      <c r="AG414">
        <v>2.9</v>
      </c>
      <c r="AI414">
        <v>9.3000000000000007</v>
      </c>
      <c r="AJ414">
        <v>2.9</v>
      </c>
    </row>
    <row r="415" spans="1:40" customFormat="1" ht="18" customHeight="1">
      <c r="A415">
        <v>409</v>
      </c>
      <c r="B415" t="s">
        <v>908</v>
      </c>
      <c r="C415" t="s">
        <v>1075</v>
      </c>
      <c r="D415" t="s">
        <v>1075</v>
      </c>
      <c r="E415" t="s">
        <v>2566</v>
      </c>
      <c r="F415" t="s">
        <v>2464</v>
      </c>
      <c r="G415">
        <v>2017</v>
      </c>
      <c r="H415" t="s">
        <v>101</v>
      </c>
      <c r="K415" t="s">
        <v>102</v>
      </c>
      <c r="O415">
        <v>98.6</v>
      </c>
      <c r="P415">
        <v>5.6</v>
      </c>
      <c r="Q415">
        <v>57</v>
      </c>
      <c r="R415" s="716">
        <v>655</v>
      </c>
      <c r="S415" s="716"/>
      <c r="U415">
        <v>100.7</v>
      </c>
      <c r="V415">
        <v>3.5</v>
      </c>
      <c r="W415">
        <v>57</v>
      </c>
      <c r="Y415">
        <v>0.45</v>
      </c>
      <c r="AA415">
        <v>-1</v>
      </c>
      <c r="AB415">
        <v>-0.6</v>
      </c>
      <c r="AD415">
        <v>1</v>
      </c>
      <c r="AK415">
        <v>1</v>
      </c>
      <c r="AL415" t="s">
        <v>48</v>
      </c>
      <c r="AM415" t="s">
        <v>32</v>
      </c>
      <c r="AN415" t="s">
        <v>41</v>
      </c>
    </row>
    <row r="416" spans="1:40" customFormat="1" ht="18" customHeight="1">
      <c r="A416">
        <v>410</v>
      </c>
      <c r="B416" t="s">
        <v>1353</v>
      </c>
      <c r="C416" t="s">
        <v>1075</v>
      </c>
      <c r="D416" t="s">
        <v>1075</v>
      </c>
      <c r="E416" t="s">
        <v>2566</v>
      </c>
      <c r="F416" t="s">
        <v>1396</v>
      </c>
      <c r="G416">
        <v>1999</v>
      </c>
      <c r="H416" t="s">
        <v>1280</v>
      </c>
      <c r="K416" t="s">
        <v>340</v>
      </c>
      <c r="L416" s="510" t="s">
        <v>2057</v>
      </c>
      <c r="O416">
        <v>68.099999999999994</v>
      </c>
      <c r="P416">
        <v>14.9</v>
      </c>
      <c r="Q416">
        <v>36</v>
      </c>
      <c r="R416" s="716">
        <v>455</v>
      </c>
      <c r="S416" s="716">
        <v>250</v>
      </c>
      <c r="U416">
        <v>88.9</v>
      </c>
      <c r="V416">
        <v>9.1999999999999993</v>
      </c>
      <c r="W416">
        <v>36</v>
      </c>
      <c r="AA416">
        <v>-1</v>
      </c>
      <c r="AB416">
        <v>-2.2400000000000002</v>
      </c>
      <c r="AD416">
        <v>1</v>
      </c>
      <c r="AF416">
        <v>13.3</v>
      </c>
      <c r="AG416">
        <v>3</v>
      </c>
      <c r="AI416">
        <v>13.2</v>
      </c>
      <c r="AJ416">
        <v>3</v>
      </c>
    </row>
    <row r="417" spans="1:40" customFormat="1" ht="18" customHeight="1">
      <c r="A417">
        <v>411</v>
      </c>
      <c r="B417" t="s">
        <v>1353</v>
      </c>
      <c r="C417" t="s">
        <v>1075</v>
      </c>
      <c r="D417" t="s">
        <v>1075</v>
      </c>
      <c r="E417" t="s">
        <v>2566</v>
      </c>
      <c r="F417" t="s">
        <v>2058</v>
      </c>
      <c r="G417">
        <v>2000</v>
      </c>
      <c r="H417" t="s">
        <v>2487</v>
      </c>
      <c r="K417" t="s">
        <v>340</v>
      </c>
      <c r="L417" t="s">
        <v>2059</v>
      </c>
      <c r="O417">
        <v>88.7</v>
      </c>
      <c r="P417">
        <v>9.1999999999999993</v>
      </c>
      <c r="Q417">
        <v>36</v>
      </c>
      <c r="R417" s="716">
        <v>455</v>
      </c>
      <c r="S417" s="716">
        <v>250</v>
      </c>
      <c r="U417">
        <v>91.5</v>
      </c>
      <c r="V417">
        <v>9.6</v>
      </c>
      <c r="W417">
        <v>36</v>
      </c>
      <c r="AA417">
        <v>-1</v>
      </c>
      <c r="AB417">
        <v>-0.28999999999999998</v>
      </c>
      <c r="AD417">
        <v>1</v>
      </c>
    </row>
    <row r="418" spans="1:40" customFormat="1" ht="18" customHeight="1">
      <c r="A418">
        <v>412</v>
      </c>
      <c r="B418" t="s">
        <v>908</v>
      </c>
      <c r="C418" t="s">
        <v>1075</v>
      </c>
      <c r="D418" t="s">
        <v>1075</v>
      </c>
      <c r="E418" t="s">
        <v>2566</v>
      </c>
      <c r="F418" t="s">
        <v>37</v>
      </c>
      <c r="G418">
        <v>2007</v>
      </c>
      <c r="H418" t="s">
        <v>103</v>
      </c>
      <c r="K418" t="s">
        <v>104</v>
      </c>
      <c r="O418">
        <v>94</v>
      </c>
      <c r="P418">
        <v>19.399999999999999</v>
      </c>
      <c r="Q418">
        <v>12</v>
      </c>
      <c r="R418" s="716" t="s">
        <v>24</v>
      </c>
      <c r="S418" s="716"/>
      <c r="U418">
        <v>96</v>
      </c>
      <c r="V418">
        <v>11.8</v>
      </c>
      <c r="W418">
        <v>12</v>
      </c>
      <c r="Y418">
        <v>0.12</v>
      </c>
      <c r="AA418">
        <v>-1</v>
      </c>
      <c r="AB418">
        <v>-0.16</v>
      </c>
      <c r="AD418">
        <v>1</v>
      </c>
      <c r="AK418">
        <v>1</v>
      </c>
      <c r="AL418" t="s">
        <v>39</v>
      </c>
      <c r="AM418" t="s">
        <v>32</v>
      </c>
      <c r="AN418" t="s">
        <v>41</v>
      </c>
    </row>
    <row r="419" spans="1:40" customFormat="1" ht="18" customHeight="1">
      <c r="A419">
        <v>413</v>
      </c>
      <c r="B419" t="s">
        <v>908</v>
      </c>
      <c r="C419" t="s">
        <v>120</v>
      </c>
      <c r="D419" t="s">
        <v>120</v>
      </c>
      <c r="E419" t="s">
        <v>2567</v>
      </c>
      <c r="F419" t="s">
        <v>2478</v>
      </c>
      <c r="G419">
        <v>2023</v>
      </c>
      <c r="H419" t="s">
        <v>1712</v>
      </c>
      <c r="K419" t="s">
        <v>1697</v>
      </c>
      <c r="M419" t="s">
        <v>1711</v>
      </c>
      <c r="O419">
        <v>10.6</v>
      </c>
      <c r="P419">
        <v>4.9000000000000004</v>
      </c>
      <c r="Q419">
        <v>20</v>
      </c>
      <c r="R419" s="716">
        <v>586</v>
      </c>
      <c r="S419" s="716">
        <v>420</v>
      </c>
      <c r="U419">
        <v>12.9</v>
      </c>
      <c r="V419">
        <v>3.99</v>
      </c>
      <c r="W419">
        <v>20</v>
      </c>
      <c r="X419" t="s">
        <v>1149</v>
      </c>
      <c r="AA419">
        <v>-1</v>
      </c>
      <c r="AB419">
        <v>-0.55000000000000004</v>
      </c>
      <c r="AD419">
        <v>0</v>
      </c>
      <c r="AF419" t="s">
        <v>1149</v>
      </c>
    </row>
    <row r="420" spans="1:40" customFormat="1" ht="18" customHeight="1">
      <c r="A420">
        <v>414</v>
      </c>
      <c r="B420" t="s">
        <v>1353</v>
      </c>
      <c r="C420" t="s">
        <v>120</v>
      </c>
      <c r="D420" t="s">
        <v>120</v>
      </c>
      <c r="E420" t="s">
        <v>2567</v>
      </c>
      <c r="F420" t="s">
        <v>1395</v>
      </c>
      <c r="G420">
        <v>2000</v>
      </c>
      <c r="H420" t="s">
        <v>1558</v>
      </c>
      <c r="L420" t="s">
        <v>1279</v>
      </c>
      <c r="O420">
        <v>2.2000000000000002</v>
      </c>
      <c r="P420">
        <v>0.53</v>
      </c>
      <c r="Q420">
        <v>19</v>
      </c>
      <c r="R420" s="716">
        <v>777</v>
      </c>
      <c r="S420" s="716">
        <v>200</v>
      </c>
      <c r="U420">
        <v>1.9</v>
      </c>
      <c r="V420">
        <v>0.54</v>
      </c>
      <c r="W420">
        <v>19</v>
      </c>
      <c r="AA420">
        <v>1</v>
      </c>
      <c r="AB420">
        <v>-0.53</v>
      </c>
      <c r="AD420">
        <v>1</v>
      </c>
      <c r="AF420">
        <v>9.4</v>
      </c>
      <c r="AG420">
        <v>2.9</v>
      </c>
      <c r="AI420">
        <v>9.3000000000000007</v>
      </c>
      <c r="AJ420">
        <v>2.9</v>
      </c>
    </row>
    <row r="421" spans="1:40" customFormat="1" ht="18" customHeight="1">
      <c r="A421">
        <v>415</v>
      </c>
      <c r="B421" t="s">
        <v>908</v>
      </c>
      <c r="C421" t="s">
        <v>120</v>
      </c>
      <c r="D421" t="s">
        <v>120</v>
      </c>
      <c r="E421" t="s">
        <v>2567</v>
      </c>
      <c r="F421" t="s">
        <v>1847</v>
      </c>
      <c r="G421">
        <v>2023</v>
      </c>
      <c r="H421" t="s">
        <v>1048</v>
      </c>
      <c r="I421" t="s">
        <v>1419</v>
      </c>
      <c r="K421" t="s">
        <v>2632</v>
      </c>
      <c r="M421" t="s">
        <v>1637</v>
      </c>
      <c r="N421" t="s">
        <v>1716</v>
      </c>
      <c r="O421">
        <v>56</v>
      </c>
      <c r="P421">
        <v>11.7</v>
      </c>
      <c r="Q421">
        <v>40</v>
      </c>
      <c r="R421" s="716">
        <v>589</v>
      </c>
      <c r="S421" s="716">
        <v>444</v>
      </c>
      <c r="U421">
        <v>61</v>
      </c>
      <c r="V421">
        <v>10.9</v>
      </c>
      <c r="W421">
        <v>32</v>
      </c>
      <c r="X421" t="s">
        <v>1149</v>
      </c>
      <c r="AA421">
        <v>-1</v>
      </c>
      <c r="AB421">
        <v>-0.45</v>
      </c>
      <c r="AD421">
        <v>1</v>
      </c>
      <c r="AF421" t="s">
        <v>1149</v>
      </c>
    </row>
    <row r="422" spans="1:40" customFormat="1" ht="18" customHeight="1">
      <c r="A422">
        <v>416</v>
      </c>
      <c r="B422" t="s">
        <v>908</v>
      </c>
      <c r="C422" t="s">
        <v>120</v>
      </c>
      <c r="D422" t="s">
        <v>120</v>
      </c>
      <c r="E422" t="s">
        <v>2567</v>
      </c>
      <c r="F422" t="s">
        <v>2478</v>
      </c>
      <c r="G422">
        <v>2023</v>
      </c>
      <c r="H422" t="s">
        <v>1713</v>
      </c>
      <c r="K422" t="s">
        <v>1697</v>
      </c>
      <c r="M422" t="s">
        <v>1711</v>
      </c>
      <c r="O422">
        <v>15.5</v>
      </c>
      <c r="P422">
        <v>6.65</v>
      </c>
      <c r="Q422">
        <v>20</v>
      </c>
      <c r="R422" s="716">
        <v>586</v>
      </c>
      <c r="S422" s="716">
        <v>420</v>
      </c>
      <c r="U422">
        <v>17.8</v>
      </c>
      <c r="V422">
        <v>4.6500000000000004</v>
      </c>
      <c r="W422">
        <v>20</v>
      </c>
      <c r="X422" t="s">
        <v>1149</v>
      </c>
      <c r="AA422">
        <v>-1</v>
      </c>
      <c r="AB422">
        <v>-0.48</v>
      </c>
      <c r="AD422">
        <v>0</v>
      </c>
      <c r="AF422" t="s">
        <v>1149</v>
      </c>
    </row>
    <row r="423" spans="1:40" customFormat="1" ht="18" customHeight="1">
      <c r="A423">
        <v>417</v>
      </c>
      <c r="B423" t="s">
        <v>908</v>
      </c>
      <c r="C423" t="s">
        <v>120</v>
      </c>
      <c r="D423" t="s">
        <v>120</v>
      </c>
      <c r="E423" t="s">
        <v>2567</v>
      </c>
      <c r="F423" t="s">
        <v>62</v>
      </c>
      <c r="G423">
        <v>2005</v>
      </c>
      <c r="H423" t="s">
        <v>1532</v>
      </c>
      <c r="I423" t="s">
        <v>961</v>
      </c>
      <c r="J423" t="s">
        <v>961</v>
      </c>
      <c r="K423" t="s">
        <v>1531</v>
      </c>
      <c r="L423" t="s">
        <v>2312</v>
      </c>
      <c r="O423">
        <v>99.4</v>
      </c>
      <c r="P423">
        <v>1.66</v>
      </c>
      <c r="Q423">
        <v>25</v>
      </c>
      <c r="R423" s="716">
        <v>759</v>
      </c>
      <c r="S423" s="716"/>
      <c r="U423">
        <v>99.4</v>
      </c>
      <c r="V423">
        <v>1.66</v>
      </c>
      <c r="W423">
        <v>25</v>
      </c>
      <c r="Y423">
        <v>0</v>
      </c>
      <c r="AA423">
        <v>-1</v>
      </c>
      <c r="AB423">
        <v>0</v>
      </c>
      <c r="AD423">
        <v>1</v>
      </c>
      <c r="AK423">
        <v>2</v>
      </c>
      <c r="AL423" t="s">
        <v>31</v>
      </c>
      <c r="AM423" t="s">
        <v>32</v>
      </c>
      <c r="AN423" t="s">
        <v>31</v>
      </c>
    </row>
    <row r="424" spans="1:40" customFormat="1" ht="18" customHeight="1">
      <c r="A424">
        <v>418</v>
      </c>
      <c r="B424" t="s">
        <v>908</v>
      </c>
      <c r="C424" t="s">
        <v>120</v>
      </c>
      <c r="D424" t="s">
        <v>120</v>
      </c>
      <c r="E424" t="s">
        <v>2567</v>
      </c>
      <c r="F424" t="s">
        <v>63</v>
      </c>
      <c r="G424">
        <v>2007</v>
      </c>
      <c r="H424" t="s">
        <v>1532</v>
      </c>
      <c r="I424" t="s">
        <v>961</v>
      </c>
      <c r="J424" t="s">
        <v>961</v>
      </c>
      <c r="K424" t="s">
        <v>1531</v>
      </c>
      <c r="L424" t="s">
        <v>1539</v>
      </c>
      <c r="O424">
        <v>98.2</v>
      </c>
      <c r="P424">
        <v>2.84</v>
      </c>
      <c r="Q424">
        <v>25</v>
      </c>
      <c r="R424" s="716">
        <v>1286</v>
      </c>
      <c r="S424" s="716"/>
      <c r="U424">
        <v>98.6</v>
      </c>
      <c r="V424">
        <v>2.02</v>
      </c>
      <c r="W424">
        <v>45</v>
      </c>
      <c r="Y424">
        <v>0.16</v>
      </c>
      <c r="AA424">
        <v>-1</v>
      </c>
      <c r="AB424">
        <v>-0.2</v>
      </c>
      <c r="AD424">
        <v>1</v>
      </c>
      <c r="AK424">
        <v>2</v>
      </c>
      <c r="AL424" t="s">
        <v>31</v>
      </c>
      <c r="AM424" t="s">
        <v>110</v>
      </c>
      <c r="AN424" t="s">
        <v>31</v>
      </c>
    </row>
    <row r="425" spans="1:40" customFormat="1" ht="18" customHeight="1">
      <c r="A425">
        <v>419</v>
      </c>
      <c r="B425" t="s">
        <v>908</v>
      </c>
      <c r="C425" t="s">
        <v>120</v>
      </c>
      <c r="D425" t="s">
        <v>120</v>
      </c>
      <c r="E425" t="s">
        <v>2567</v>
      </c>
      <c r="F425" t="s">
        <v>62</v>
      </c>
      <c r="G425">
        <v>2005</v>
      </c>
      <c r="H425" t="s">
        <v>1532</v>
      </c>
      <c r="I425" t="s">
        <v>1419</v>
      </c>
      <c r="J425" t="s">
        <v>1419</v>
      </c>
      <c r="K425" t="s">
        <v>1534</v>
      </c>
      <c r="L425" t="s">
        <v>2312</v>
      </c>
      <c r="O425">
        <v>1</v>
      </c>
      <c r="P425">
        <v>0.35</v>
      </c>
      <c r="Q425">
        <v>25</v>
      </c>
      <c r="R425" s="716">
        <v>759</v>
      </c>
      <c r="S425" s="716"/>
      <c r="U425">
        <v>0.8</v>
      </c>
      <c r="V425">
        <v>0.26</v>
      </c>
      <c r="W425">
        <v>25</v>
      </c>
      <c r="Y425">
        <v>-0.52</v>
      </c>
      <c r="AA425">
        <v>1</v>
      </c>
      <c r="AB425">
        <v>-0.61</v>
      </c>
      <c r="AD425">
        <v>1</v>
      </c>
      <c r="AK425">
        <v>2</v>
      </c>
      <c r="AL425" t="s">
        <v>31</v>
      </c>
      <c r="AM425" t="s">
        <v>32</v>
      </c>
      <c r="AN425" t="s">
        <v>31</v>
      </c>
    </row>
    <row r="426" spans="1:40" customFormat="1" ht="18" customHeight="1">
      <c r="A426">
        <v>420</v>
      </c>
      <c r="B426" t="s">
        <v>908</v>
      </c>
      <c r="C426" t="s">
        <v>120</v>
      </c>
      <c r="D426" t="s">
        <v>120</v>
      </c>
      <c r="E426" t="s">
        <v>2567</v>
      </c>
      <c r="F426" t="s">
        <v>63</v>
      </c>
      <c r="G426">
        <v>2007</v>
      </c>
      <c r="H426" t="s">
        <v>1532</v>
      </c>
      <c r="I426" t="s">
        <v>1419</v>
      </c>
      <c r="J426" t="s">
        <v>1419</v>
      </c>
      <c r="K426" t="s">
        <v>1535</v>
      </c>
      <c r="L426" t="s">
        <v>1539</v>
      </c>
      <c r="O426">
        <v>0.9</v>
      </c>
      <c r="P426">
        <v>0.2</v>
      </c>
      <c r="Q426">
        <v>25</v>
      </c>
      <c r="R426" s="716">
        <v>1286</v>
      </c>
      <c r="S426" s="716"/>
      <c r="U426">
        <v>0.8</v>
      </c>
      <c r="V426">
        <v>0.26</v>
      </c>
      <c r="W426">
        <v>45</v>
      </c>
      <c r="Y426">
        <v>-0.22</v>
      </c>
      <c r="AA426">
        <v>1</v>
      </c>
      <c r="AB426">
        <v>-0.19</v>
      </c>
      <c r="AD426">
        <v>1</v>
      </c>
      <c r="AK426">
        <v>2</v>
      </c>
      <c r="AL426" t="s">
        <v>31</v>
      </c>
      <c r="AM426" t="s">
        <v>110</v>
      </c>
      <c r="AN426" t="s">
        <v>31</v>
      </c>
    </row>
    <row r="427" spans="1:40" customFormat="1" ht="18" customHeight="1">
      <c r="A427">
        <v>421</v>
      </c>
      <c r="B427" t="s">
        <v>908</v>
      </c>
      <c r="C427" t="s">
        <v>120</v>
      </c>
      <c r="D427" t="s">
        <v>120</v>
      </c>
      <c r="E427" t="s">
        <v>2567</v>
      </c>
      <c r="F427" t="s">
        <v>29</v>
      </c>
      <c r="G427">
        <v>2004</v>
      </c>
      <c r="H427" t="s">
        <v>2524</v>
      </c>
      <c r="K427" t="s">
        <v>1541</v>
      </c>
      <c r="O427">
        <v>98.2</v>
      </c>
      <c r="P427">
        <v>2.59</v>
      </c>
      <c r="Q427">
        <v>20</v>
      </c>
      <c r="R427" s="716">
        <v>859</v>
      </c>
      <c r="S427" s="716"/>
      <c r="U427">
        <v>98.2</v>
      </c>
      <c r="V427">
        <v>4.16</v>
      </c>
      <c r="W427">
        <v>20</v>
      </c>
      <c r="Y427">
        <v>0</v>
      </c>
      <c r="AA427">
        <v>-1</v>
      </c>
      <c r="AB427">
        <v>0</v>
      </c>
      <c r="AD427">
        <v>1</v>
      </c>
      <c r="AK427">
        <v>2</v>
      </c>
      <c r="AL427" t="s">
        <v>31</v>
      </c>
      <c r="AM427" t="s">
        <v>32</v>
      </c>
      <c r="AN427" t="s">
        <v>31</v>
      </c>
    </row>
    <row r="428" spans="1:40" customFormat="1" ht="18" customHeight="1">
      <c r="A428">
        <v>422</v>
      </c>
      <c r="B428" t="s">
        <v>908</v>
      </c>
      <c r="C428" t="s">
        <v>120</v>
      </c>
      <c r="D428" t="s">
        <v>120</v>
      </c>
      <c r="E428" t="s">
        <v>2567</v>
      </c>
      <c r="F428" t="s">
        <v>2478</v>
      </c>
      <c r="G428">
        <v>2023</v>
      </c>
      <c r="H428" t="s">
        <v>2524</v>
      </c>
      <c r="I428" t="s">
        <v>961</v>
      </c>
      <c r="J428" t="s">
        <v>961</v>
      </c>
      <c r="K428" t="s">
        <v>1714</v>
      </c>
      <c r="M428" t="s">
        <v>1624</v>
      </c>
      <c r="O428">
        <v>29.5</v>
      </c>
      <c r="P428">
        <v>4.74</v>
      </c>
      <c r="Q428">
        <v>20</v>
      </c>
      <c r="R428" s="716">
        <v>586</v>
      </c>
      <c r="S428" s="716">
        <v>420</v>
      </c>
      <c r="U428">
        <v>34.200000000000003</v>
      </c>
      <c r="V428">
        <v>1.88</v>
      </c>
      <c r="W428">
        <v>20</v>
      </c>
      <c r="X428" t="s">
        <v>1149</v>
      </c>
      <c r="AA428">
        <v>-1</v>
      </c>
      <c r="AB428">
        <v>-2.4500000000000002</v>
      </c>
      <c r="AD428">
        <v>0</v>
      </c>
      <c r="AF428" t="s">
        <v>1149</v>
      </c>
    </row>
    <row r="429" spans="1:40" customFormat="1" ht="18" customHeight="1">
      <c r="A429">
        <v>423</v>
      </c>
      <c r="B429" t="s">
        <v>908</v>
      </c>
      <c r="C429" t="s">
        <v>120</v>
      </c>
      <c r="D429" t="s">
        <v>120</v>
      </c>
      <c r="E429" t="s">
        <v>2567</v>
      </c>
      <c r="F429" t="s">
        <v>2478</v>
      </c>
      <c r="G429">
        <v>2023</v>
      </c>
      <c r="H429" t="s">
        <v>2524</v>
      </c>
      <c r="I429" t="s">
        <v>1419</v>
      </c>
      <c r="J429" t="s">
        <v>1419</v>
      </c>
      <c r="K429" t="s">
        <v>1715</v>
      </c>
      <c r="M429" t="s">
        <v>1624</v>
      </c>
      <c r="O429">
        <v>3.4</v>
      </c>
      <c r="P429">
        <v>1.77</v>
      </c>
      <c r="Q429">
        <v>20</v>
      </c>
      <c r="R429" s="716">
        <v>586</v>
      </c>
      <c r="S429" s="716">
        <v>420</v>
      </c>
      <c r="U429">
        <v>2.8</v>
      </c>
      <c r="V429">
        <v>1.64</v>
      </c>
      <c r="W429">
        <v>20</v>
      </c>
      <c r="X429" t="s">
        <v>1149</v>
      </c>
      <c r="AA429">
        <v>1</v>
      </c>
      <c r="AB429">
        <v>-0.35</v>
      </c>
      <c r="AD429">
        <v>0</v>
      </c>
      <c r="AF429" t="s">
        <v>1149</v>
      </c>
    </row>
    <row r="430" spans="1:40" customFormat="1" ht="18" customHeight="1">
      <c r="A430">
        <v>424</v>
      </c>
      <c r="B430" t="s">
        <v>908</v>
      </c>
      <c r="C430" t="s">
        <v>120</v>
      </c>
      <c r="D430" t="s">
        <v>120</v>
      </c>
      <c r="E430" t="s">
        <v>2567</v>
      </c>
      <c r="F430" t="s">
        <v>43</v>
      </c>
      <c r="G430">
        <v>2015</v>
      </c>
      <c r="H430" t="s">
        <v>2524</v>
      </c>
      <c r="K430" t="s">
        <v>121</v>
      </c>
      <c r="O430">
        <v>77.900000000000006</v>
      </c>
      <c r="P430">
        <v>28.6</v>
      </c>
      <c r="Q430">
        <v>14</v>
      </c>
      <c r="R430" s="716" t="s">
        <v>24</v>
      </c>
      <c r="S430" s="716"/>
      <c r="U430">
        <v>86.8</v>
      </c>
      <c r="V430">
        <v>24.31</v>
      </c>
      <c r="W430">
        <v>14</v>
      </c>
      <c r="Y430">
        <v>0.34</v>
      </c>
      <c r="AA430">
        <v>-1</v>
      </c>
      <c r="AB430">
        <v>-0.36</v>
      </c>
      <c r="AD430">
        <v>1</v>
      </c>
      <c r="AK430">
        <v>3</v>
      </c>
      <c r="AL430" t="s">
        <v>44</v>
      </c>
      <c r="AM430" t="s">
        <v>32</v>
      </c>
      <c r="AN430" t="s">
        <v>44</v>
      </c>
    </row>
    <row r="431" spans="1:40" customFormat="1" ht="18" customHeight="1">
      <c r="A431">
        <v>425</v>
      </c>
      <c r="B431" t="s">
        <v>908</v>
      </c>
      <c r="C431" t="s">
        <v>120</v>
      </c>
      <c r="D431" t="s">
        <v>120</v>
      </c>
      <c r="E431" t="s">
        <v>2567</v>
      </c>
      <c r="F431" t="s">
        <v>51</v>
      </c>
      <c r="G431">
        <v>2021</v>
      </c>
      <c r="H431" t="s">
        <v>2524</v>
      </c>
      <c r="O431">
        <v>36</v>
      </c>
      <c r="P431">
        <v>1.6</v>
      </c>
      <c r="Q431">
        <v>19</v>
      </c>
      <c r="R431" s="716">
        <v>890</v>
      </c>
      <c r="S431" s="716"/>
      <c r="U431">
        <v>36</v>
      </c>
      <c r="V431">
        <v>0.79</v>
      </c>
      <c r="W431">
        <v>25</v>
      </c>
      <c r="Y431">
        <v>0</v>
      </c>
      <c r="AA431">
        <v>1</v>
      </c>
      <c r="AB431">
        <v>0</v>
      </c>
      <c r="AD431">
        <v>1</v>
      </c>
      <c r="AE431">
        <v>-0.47</v>
      </c>
    </row>
    <row r="432" spans="1:40" customFormat="1" ht="18" customHeight="1">
      <c r="A432">
        <v>426</v>
      </c>
      <c r="B432" t="s">
        <v>1353</v>
      </c>
      <c r="C432" t="s">
        <v>120</v>
      </c>
      <c r="D432" t="s">
        <v>120</v>
      </c>
      <c r="E432" t="s">
        <v>2567</v>
      </c>
      <c r="F432" t="s">
        <v>2461</v>
      </c>
      <c r="G432">
        <v>2002</v>
      </c>
      <c r="H432" t="s">
        <v>2524</v>
      </c>
      <c r="K432" t="s">
        <v>1268</v>
      </c>
      <c r="O432">
        <v>27.2</v>
      </c>
      <c r="P432">
        <v>6.72</v>
      </c>
      <c r="Q432">
        <v>36</v>
      </c>
      <c r="R432" s="716"/>
      <c r="S432" s="716"/>
      <c r="U432">
        <v>29.3</v>
      </c>
      <c r="V432">
        <v>4.92</v>
      </c>
      <c r="W432">
        <v>69</v>
      </c>
      <c r="AA432">
        <v>-1</v>
      </c>
      <c r="AB432">
        <v>-0.41</v>
      </c>
      <c r="AD432">
        <v>1</v>
      </c>
    </row>
    <row r="433" spans="1:40" customFormat="1" ht="18" customHeight="1">
      <c r="A433">
        <v>427</v>
      </c>
      <c r="B433" t="s">
        <v>1353</v>
      </c>
      <c r="C433" t="s">
        <v>120</v>
      </c>
      <c r="D433" t="s">
        <v>120</v>
      </c>
      <c r="E433" t="s">
        <v>2567</v>
      </c>
      <c r="F433" t="s">
        <v>1390</v>
      </c>
      <c r="G433">
        <v>2003</v>
      </c>
      <c r="H433" t="s">
        <v>2524</v>
      </c>
      <c r="K433" t="s">
        <v>1199</v>
      </c>
      <c r="O433">
        <v>38.5</v>
      </c>
      <c r="P433">
        <v>9.3000000000000007</v>
      </c>
      <c r="Q433">
        <v>46</v>
      </c>
      <c r="R433" s="716">
        <v>490</v>
      </c>
      <c r="S433" s="716">
        <v>375</v>
      </c>
      <c r="U433">
        <v>52.5</v>
      </c>
      <c r="V433">
        <v>10.4</v>
      </c>
      <c r="W433">
        <v>18</v>
      </c>
      <c r="AA433">
        <v>-1</v>
      </c>
      <c r="AB433">
        <v>-1.33</v>
      </c>
      <c r="AD433">
        <v>1</v>
      </c>
      <c r="AF433">
        <v>10.75</v>
      </c>
      <c r="AG433">
        <v>2.1</v>
      </c>
      <c r="AI433">
        <v>13.1</v>
      </c>
      <c r="AJ433">
        <v>3.2</v>
      </c>
    </row>
    <row r="434" spans="1:40" customFormat="1" ht="18" customHeight="1">
      <c r="A434">
        <v>428</v>
      </c>
      <c r="B434" t="s">
        <v>1353</v>
      </c>
      <c r="C434" t="s">
        <v>120</v>
      </c>
      <c r="D434" t="s">
        <v>120</v>
      </c>
      <c r="E434" t="s">
        <v>2567</v>
      </c>
      <c r="F434" t="s">
        <v>1394</v>
      </c>
      <c r="G434">
        <v>2009</v>
      </c>
      <c r="H434" t="s">
        <v>2524</v>
      </c>
      <c r="K434" t="s">
        <v>1211</v>
      </c>
      <c r="O434">
        <v>28.5</v>
      </c>
      <c r="P434">
        <v>5.17</v>
      </c>
      <c r="Q434">
        <v>14</v>
      </c>
      <c r="R434" s="716">
        <v>491</v>
      </c>
      <c r="S434" s="716">
        <v>149</v>
      </c>
      <c r="U434">
        <v>34.200000000000003</v>
      </c>
      <c r="V434">
        <v>1.96</v>
      </c>
      <c r="W434">
        <v>14</v>
      </c>
      <c r="AA434">
        <v>-1</v>
      </c>
      <c r="AB434">
        <v>-2.82</v>
      </c>
      <c r="AD434">
        <v>1</v>
      </c>
      <c r="AF434">
        <v>10.8</v>
      </c>
      <c r="AG434">
        <v>1.25</v>
      </c>
      <c r="AI434">
        <v>10.9</v>
      </c>
      <c r="AJ434">
        <v>1.3</v>
      </c>
    </row>
    <row r="435" spans="1:40" customFormat="1" ht="18" customHeight="1">
      <c r="A435">
        <v>429</v>
      </c>
      <c r="B435" t="s">
        <v>1353</v>
      </c>
      <c r="C435" t="s">
        <v>120</v>
      </c>
      <c r="D435" t="s">
        <v>120</v>
      </c>
      <c r="E435" t="s">
        <v>2567</v>
      </c>
      <c r="F435" t="s">
        <v>1393</v>
      </c>
      <c r="G435">
        <v>2005</v>
      </c>
      <c r="H435" t="s">
        <v>2524</v>
      </c>
      <c r="K435" t="s">
        <v>1268</v>
      </c>
      <c r="O435">
        <v>51</v>
      </c>
      <c r="P435">
        <v>8</v>
      </c>
      <c r="Q435">
        <v>26</v>
      </c>
      <c r="R435" s="716">
        <v>489</v>
      </c>
      <c r="S435" s="716">
        <v>181</v>
      </c>
      <c r="U435">
        <v>60</v>
      </c>
      <c r="V435">
        <v>10</v>
      </c>
      <c r="W435">
        <v>21</v>
      </c>
      <c r="AA435">
        <v>-1</v>
      </c>
      <c r="AB435">
        <v>-0.88</v>
      </c>
      <c r="AD435">
        <v>1</v>
      </c>
      <c r="AF435">
        <v>12.3</v>
      </c>
      <c r="AG435">
        <v>3.7</v>
      </c>
      <c r="AI435">
        <v>11.8</v>
      </c>
      <c r="AJ435">
        <v>3.6</v>
      </c>
    </row>
    <row r="436" spans="1:40" customFormat="1" ht="18" customHeight="1">
      <c r="A436">
        <v>430</v>
      </c>
      <c r="B436" t="s">
        <v>1353</v>
      </c>
      <c r="C436" t="s">
        <v>120</v>
      </c>
      <c r="D436" t="s">
        <v>120</v>
      </c>
      <c r="E436" t="s">
        <v>2567</v>
      </c>
      <c r="F436" t="s">
        <v>1392</v>
      </c>
      <c r="G436">
        <v>2018</v>
      </c>
      <c r="H436" t="s">
        <v>1264</v>
      </c>
      <c r="K436" t="s">
        <v>640</v>
      </c>
      <c r="L436" s="510" t="s">
        <v>1546</v>
      </c>
      <c r="O436">
        <v>-0.6</v>
      </c>
      <c r="P436">
        <v>0.94</v>
      </c>
      <c r="Q436">
        <v>11</v>
      </c>
      <c r="R436" s="716">
        <v>743</v>
      </c>
      <c r="S436" s="716">
        <v>84</v>
      </c>
      <c r="U436">
        <v>0</v>
      </c>
      <c r="V436">
        <v>0.66</v>
      </c>
      <c r="W436">
        <v>28</v>
      </c>
      <c r="AA436">
        <v>-1</v>
      </c>
      <c r="AB436">
        <v>-0.59</v>
      </c>
      <c r="AD436">
        <v>1</v>
      </c>
      <c r="AE436">
        <v>-1.01</v>
      </c>
      <c r="AF436">
        <v>13</v>
      </c>
      <c r="AG436">
        <v>2.5</v>
      </c>
      <c r="AI436">
        <v>11.8</v>
      </c>
      <c r="AJ436">
        <v>2.5</v>
      </c>
    </row>
    <row r="437" spans="1:40" customFormat="1" ht="18" customHeight="1">
      <c r="A437">
        <v>431</v>
      </c>
      <c r="B437" t="s">
        <v>908</v>
      </c>
      <c r="C437" t="s">
        <v>1408</v>
      </c>
      <c r="D437" t="s">
        <v>1408</v>
      </c>
      <c r="E437" t="s">
        <v>2451</v>
      </c>
      <c r="F437" t="s">
        <v>53</v>
      </c>
      <c r="G437">
        <v>1994</v>
      </c>
      <c r="H437" t="s">
        <v>2525</v>
      </c>
      <c r="K437" t="s">
        <v>138</v>
      </c>
      <c r="O437">
        <v>461</v>
      </c>
      <c r="P437">
        <v>132</v>
      </c>
      <c r="Q437">
        <v>25</v>
      </c>
      <c r="R437" s="716">
        <v>1332</v>
      </c>
      <c r="S437" s="716"/>
      <c r="U437">
        <v>395</v>
      </c>
      <c r="V437">
        <v>48</v>
      </c>
      <c r="W437">
        <v>15</v>
      </c>
      <c r="Y437">
        <v>-0.66</v>
      </c>
      <c r="AA437">
        <v>1</v>
      </c>
      <c r="AB437">
        <v>-1.35</v>
      </c>
      <c r="AD437">
        <v>1</v>
      </c>
      <c r="AK437">
        <v>2</v>
      </c>
      <c r="AL437" t="s">
        <v>31</v>
      </c>
      <c r="AM437" t="s">
        <v>32</v>
      </c>
      <c r="AN437" t="s">
        <v>31</v>
      </c>
    </row>
    <row r="438" spans="1:40" customFormat="1" ht="18" customHeight="1">
      <c r="A438">
        <v>432</v>
      </c>
      <c r="B438" t="s">
        <v>908</v>
      </c>
      <c r="C438" t="s">
        <v>1408</v>
      </c>
      <c r="D438" t="s">
        <v>1408</v>
      </c>
      <c r="E438" t="s">
        <v>2451</v>
      </c>
      <c r="F438" t="s">
        <v>2710</v>
      </c>
      <c r="G438">
        <v>2017</v>
      </c>
      <c r="H438" t="s">
        <v>2638</v>
      </c>
      <c r="I438" t="s">
        <v>1419</v>
      </c>
      <c r="J438" t="s">
        <v>1419</v>
      </c>
      <c r="K438" t="s">
        <v>134</v>
      </c>
      <c r="O438">
        <v>307</v>
      </c>
      <c r="P438">
        <v>42</v>
      </c>
      <c r="Q438">
        <v>37</v>
      </c>
      <c r="R438" s="716">
        <v>720</v>
      </c>
      <c r="S438" s="716"/>
      <c r="U438">
        <v>281</v>
      </c>
      <c r="V438">
        <v>31.3</v>
      </c>
      <c r="W438">
        <v>30</v>
      </c>
      <c r="Y438">
        <v>-0.7</v>
      </c>
      <c r="AA438">
        <v>1</v>
      </c>
      <c r="AB438">
        <v>-0.82</v>
      </c>
      <c r="AD438">
        <v>1</v>
      </c>
      <c r="AK438">
        <v>1</v>
      </c>
      <c r="AL438" t="s">
        <v>48</v>
      </c>
      <c r="AM438" t="s">
        <v>32</v>
      </c>
      <c r="AN438" t="s">
        <v>41</v>
      </c>
    </row>
    <row r="439" spans="1:40" customFormat="1" ht="18" customHeight="1">
      <c r="A439">
        <v>433</v>
      </c>
      <c r="B439" t="s">
        <v>908</v>
      </c>
      <c r="C439" t="s">
        <v>1408</v>
      </c>
      <c r="D439" t="s">
        <v>1408</v>
      </c>
      <c r="E439" t="s">
        <v>2451</v>
      </c>
      <c r="F439" t="s">
        <v>2710</v>
      </c>
      <c r="G439">
        <v>2017</v>
      </c>
      <c r="H439" t="s">
        <v>2640</v>
      </c>
      <c r="I439" t="s">
        <v>1419</v>
      </c>
      <c r="J439" t="s">
        <v>1419</v>
      </c>
      <c r="K439" t="s">
        <v>137</v>
      </c>
      <c r="O439">
        <v>1008</v>
      </c>
      <c r="P439">
        <v>239.7</v>
      </c>
      <c r="Q439">
        <v>37</v>
      </c>
      <c r="R439" s="716">
        <v>720</v>
      </c>
      <c r="S439" s="716"/>
      <c r="U439">
        <v>841</v>
      </c>
      <c r="V439">
        <v>126.3</v>
      </c>
      <c r="W439">
        <v>30</v>
      </c>
      <c r="Y439">
        <v>-0.87</v>
      </c>
      <c r="AA439">
        <v>1</v>
      </c>
      <c r="AB439">
        <v>-1.31</v>
      </c>
      <c r="AD439">
        <v>1</v>
      </c>
      <c r="AK439">
        <v>1</v>
      </c>
      <c r="AL439" t="s">
        <v>48</v>
      </c>
      <c r="AM439" t="s">
        <v>32</v>
      </c>
      <c r="AN439" t="s">
        <v>41</v>
      </c>
    </row>
    <row r="440" spans="1:40" customFormat="1" ht="18" customHeight="1">
      <c r="A440">
        <v>434</v>
      </c>
      <c r="B440" t="s">
        <v>908</v>
      </c>
      <c r="C440" t="s">
        <v>1408</v>
      </c>
      <c r="D440" t="s">
        <v>1408</v>
      </c>
      <c r="E440" t="s">
        <v>2451</v>
      </c>
      <c r="F440" t="s">
        <v>54</v>
      </c>
      <c r="G440">
        <v>2020</v>
      </c>
      <c r="H440" t="s">
        <v>2526</v>
      </c>
      <c r="I440" t="s">
        <v>1419</v>
      </c>
      <c r="J440" t="s">
        <v>1419</v>
      </c>
      <c r="K440" t="s">
        <v>137</v>
      </c>
      <c r="O440">
        <v>1152</v>
      </c>
      <c r="P440">
        <v>237</v>
      </c>
      <c r="Q440">
        <v>19</v>
      </c>
      <c r="R440" s="716">
        <v>1042</v>
      </c>
      <c r="S440" s="716"/>
      <c r="U440">
        <v>938</v>
      </c>
      <c r="V440">
        <v>203</v>
      </c>
      <c r="W440">
        <v>19</v>
      </c>
      <c r="Y440">
        <v>-0.97</v>
      </c>
      <c r="AA440">
        <v>1</v>
      </c>
      <c r="AB440">
        <v>-1.03</v>
      </c>
      <c r="AD440">
        <v>1</v>
      </c>
      <c r="AK440">
        <v>1</v>
      </c>
      <c r="AL440" t="s">
        <v>48</v>
      </c>
      <c r="AM440" t="s">
        <v>24</v>
      </c>
      <c r="AN440" t="s">
        <v>41</v>
      </c>
    </row>
    <row r="441" spans="1:40" customFormat="1" ht="18" customHeight="1">
      <c r="A441">
        <v>435</v>
      </c>
      <c r="B441" t="s">
        <v>908</v>
      </c>
      <c r="C441" t="s">
        <v>1408</v>
      </c>
      <c r="D441" t="s">
        <v>1408</v>
      </c>
      <c r="E441" t="s">
        <v>2451</v>
      </c>
      <c r="F441" t="s">
        <v>2710</v>
      </c>
      <c r="G441">
        <v>2017</v>
      </c>
      <c r="H441" t="s">
        <v>2527</v>
      </c>
      <c r="I441" t="s">
        <v>1419</v>
      </c>
      <c r="J441" t="s">
        <v>1419</v>
      </c>
      <c r="K441" t="s">
        <v>135</v>
      </c>
      <c r="O441">
        <v>438</v>
      </c>
      <c r="P441">
        <v>70.599999999999994</v>
      </c>
      <c r="Q441">
        <v>37</v>
      </c>
      <c r="R441" s="716">
        <v>720</v>
      </c>
      <c r="S441" s="716"/>
      <c r="U441">
        <v>407</v>
      </c>
      <c r="V441">
        <v>72.2</v>
      </c>
      <c r="W441">
        <v>30</v>
      </c>
      <c r="Y441">
        <v>-0.43</v>
      </c>
      <c r="AA441">
        <v>1</v>
      </c>
      <c r="AB441">
        <v>-0.42</v>
      </c>
      <c r="AD441">
        <v>1</v>
      </c>
      <c r="AK441">
        <v>1</v>
      </c>
      <c r="AL441" t="s">
        <v>48</v>
      </c>
      <c r="AM441" t="s">
        <v>32</v>
      </c>
      <c r="AN441" t="s">
        <v>41</v>
      </c>
    </row>
    <row r="442" spans="1:40" customFormat="1" ht="18" customHeight="1">
      <c r="A442">
        <v>436</v>
      </c>
      <c r="B442" t="s">
        <v>908</v>
      </c>
      <c r="C442" t="s">
        <v>1408</v>
      </c>
      <c r="D442" t="s">
        <v>1408</v>
      </c>
      <c r="E442" t="s">
        <v>2451</v>
      </c>
      <c r="F442" t="s">
        <v>54</v>
      </c>
      <c r="G442">
        <v>2020</v>
      </c>
      <c r="H442" t="s">
        <v>2527</v>
      </c>
      <c r="I442" t="s">
        <v>1419</v>
      </c>
      <c r="J442" t="s">
        <v>1419</v>
      </c>
      <c r="K442" t="s">
        <v>135</v>
      </c>
      <c r="O442">
        <v>483</v>
      </c>
      <c r="P442">
        <v>104</v>
      </c>
      <c r="Q442">
        <v>19</v>
      </c>
      <c r="R442" s="716">
        <v>1042</v>
      </c>
      <c r="S442" s="716"/>
      <c r="U442">
        <v>430</v>
      </c>
      <c r="V442">
        <v>58</v>
      </c>
      <c r="W442">
        <v>19</v>
      </c>
      <c r="Y442">
        <v>-0.63</v>
      </c>
      <c r="AA442">
        <v>1</v>
      </c>
      <c r="AB442">
        <v>-0.89</v>
      </c>
      <c r="AD442">
        <v>1</v>
      </c>
      <c r="AK442">
        <v>1</v>
      </c>
      <c r="AL442" t="s">
        <v>48</v>
      </c>
      <c r="AM442" t="s">
        <v>24</v>
      </c>
      <c r="AN442" t="s">
        <v>41</v>
      </c>
    </row>
    <row r="443" spans="1:40" customFormat="1" ht="18" customHeight="1">
      <c r="A443">
        <v>437</v>
      </c>
      <c r="B443" t="s">
        <v>908</v>
      </c>
      <c r="C443" t="s">
        <v>1408</v>
      </c>
      <c r="D443" t="s">
        <v>1408</v>
      </c>
      <c r="E443" t="s">
        <v>2451</v>
      </c>
      <c r="F443" t="s">
        <v>2710</v>
      </c>
      <c r="G443">
        <v>2017</v>
      </c>
      <c r="H443" t="s">
        <v>2528</v>
      </c>
      <c r="I443" t="s">
        <v>1419</v>
      </c>
      <c r="J443" t="s">
        <v>1419</v>
      </c>
      <c r="K443" t="s">
        <v>136</v>
      </c>
      <c r="O443">
        <v>606</v>
      </c>
      <c r="P443">
        <v>167.6</v>
      </c>
      <c r="Q443">
        <v>37</v>
      </c>
      <c r="R443" s="716">
        <v>720</v>
      </c>
      <c r="S443" s="716"/>
      <c r="U443">
        <v>498</v>
      </c>
      <c r="V443">
        <v>71.7</v>
      </c>
      <c r="W443">
        <v>30</v>
      </c>
      <c r="Y443">
        <v>-0.84</v>
      </c>
      <c r="AA443">
        <v>1</v>
      </c>
      <c r="AB443">
        <v>-1.49</v>
      </c>
      <c r="AD443">
        <v>1</v>
      </c>
      <c r="AK443">
        <v>1</v>
      </c>
      <c r="AL443" t="s">
        <v>48</v>
      </c>
      <c r="AM443" t="s">
        <v>32</v>
      </c>
      <c r="AN443" t="s">
        <v>41</v>
      </c>
    </row>
    <row r="444" spans="1:40" customFormat="1" ht="18" customHeight="1">
      <c r="A444">
        <v>438</v>
      </c>
      <c r="B444" t="s">
        <v>908</v>
      </c>
      <c r="C444" t="s">
        <v>1408</v>
      </c>
      <c r="D444" t="s">
        <v>1408</v>
      </c>
      <c r="E444" t="s">
        <v>2451</v>
      </c>
      <c r="F444" t="s">
        <v>54</v>
      </c>
      <c r="G444">
        <v>2020</v>
      </c>
      <c r="H444" t="s">
        <v>2528</v>
      </c>
      <c r="I444" t="s">
        <v>1419</v>
      </c>
      <c r="J444" t="s">
        <v>1419</v>
      </c>
      <c r="K444" t="s">
        <v>136</v>
      </c>
      <c r="O444">
        <v>752</v>
      </c>
      <c r="P444">
        <v>262</v>
      </c>
      <c r="Q444">
        <v>19</v>
      </c>
      <c r="R444" s="716">
        <v>1042</v>
      </c>
      <c r="S444" s="716"/>
      <c r="U444">
        <v>586</v>
      </c>
      <c r="V444">
        <v>113</v>
      </c>
      <c r="W444">
        <v>19</v>
      </c>
      <c r="Y444">
        <v>-0.82</v>
      </c>
      <c r="AA444">
        <v>1</v>
      </c>
      <c r="AB444">
        <v>-1.44</v>
      </c>
      <c r="AD444">
        <v>1</v>
      </c>
      <c r="AK444">
        <v>1</v>
      </c>
      <c r="AL444" t="s">
        <v>48</v>
      </c>
      <c r="AM444" t="s">
        <v>24</v>
      </c>
      <c r="AN444" t="s">
        <v>41</v>
      </c>
    </row>
    <row r="445" spans="1:40" customFormat="1" ht="18" customHeight="1">
      <c r="A445">
        <v>439</v>
      </c>
      <c r="B445" t="s">
        <v>908</v>
      </c>
      <c r="C445" t="s">
        <v>1408</v>
      </c>
      <c r="D445" t="s">
        <v>1408</v>
      </c>
      <c r="E445" t="s">
        <v>2451</v>
      </c>
      <c r="F445" t="s">
        <v>2464</v>
      </c>
      <c r="G445">
        <v>2017</v>
      </c>
      <c r="H445" t="s">
        <v>132</v>
      </c>
      <c r="I445" t="s">
        <v>1419</v>
      </c>
      <c r="J445" t="s">
        <v>1419</v>
      </c>
      <c r="K445" t="s">
        <v>133</v>
      </c>
      <c r="O445">
        <v>2144</v>
      </c>
      <c r="P445">
        <v>570</v>
      </c>
      <c r="Q445">
        <v>57</v>
      </c>
      <c r="R445" s="716">
        <v>655</v>
      </c>
      <c r="S445" s="716"/>
      <c r="U445">
        <v>1875</v>
      </c>
      <c r="V445">
        <v>418</v>
      </c>
      <c r="W445">
        <v>57</v>
      </c>
      <c r="Y445">
        <v>-0.54</v>
      </c>
      <c r="AA445">
        <v>1</v>
      </c>
      <c r="AB445">
        <v>-0.64</v>
      </c>
      <c r="AD445">
        <v>1</v>
      </c>
      <c r="AK445">
        <v>1</v>
      </c>
      <c r="AL445" t="s">
        <v>48</v>
      </c>
      <c r="AM445" t="s">
        <v>24</v>
      </c>
      <c r="AN445" t="s">
        <v>41</v>
      </c>
    </row>
    <row r="446" spans="1:40" customFormat="1" ht="18" customHeight="1">
      <c r="A446">
        <v>440</v>
      </c>
      <c r="B446" t="s">
        <v>908</v>
      </c>
      <c r="C446" t="s">
        <v>1408</v>
      </c>
      <c r="D446" t="s">
        <v>1408</v>
      </c>
      <c r="E446" t="s">
        <v>2451</v>
      </c>
      <c r="F446" t="s">
        <v>2464</v>
      </c>
      <c r="G446">
        <v>2017</v>
      </c>
      <c r="H446" t="s">
        <v>130</v>
      </c>
      <c r="I446" t="s">
        <v>1419</v>
      </c>
      <c r="J446" t="s">
        <v>1419</v>
      </c>
      <c r="K446" t="s">
        <v>131</v>
      </c>
      <c r="O446">
        <v>605</v>
      </c>
      <c r="P446">
        <v>146</v>
      </c>
      <c r="Q446">
        <v>57</v>
      </c>
      <c r="R446" s="716">
        <v>655</v>
      </c>
      <c r="S446" s="716"/>
      <c r="U446">
        <v>549</v>
      </c>
      <c r="V446">
        <v>80</v>
      </c>
      <c r="W446">
        <v>57</v>
      </c>
      <c r="Y446">
        <v>-0.48</v>
      </c>
      <c r="AA446">
        <v>1</v>
      </c>
      <c r="AB446">
        <v>-0.7</v>
      </c>
      <c r="AD446">
        <v>1</v>
      </c>
      <c r="AK446">
        <v>1</v>
      </c>
      <c r="AL446" t="s">
        <v>48</v>
      </c>
      <c r="AM446" t="s">
        <v>24</v>
      </c>
      <c r="AN446" t="s">
        <v>41</v>
      </c>
    </row>
    <row r="447" spans="1:40" customFormat="1" ht="18" customHeight="1">
      <c r="A447">
        <v>441</v>
      </c>
      <c r="B447" t="s">
        <v>1353</v>
      </c>
      <c r="C447" t="s">
        <v>1408</v>
      </c>
      <c r="D447" t="s">
        <v>1408</v>
      </c>
      <c r="E447" t="s">
        <v>2451</v>
      </c>
      <c r="F447" t="s">
        <v>2461</v>
      </c>
      <c r="G447">
        <v>2008</v>
      </c>
      <c r="H447" t="s">
        <v>1156</v>
      </c>
      <c r="K447" t="s">
        <v>1157</v>
      </c>
      <c r="M447" t="s">
        <v>1161</v>
      </c>
      <c r="O447">
        <v>8.4</v>
      </c>
      <c r="P447">
        <v>2.8719999999999999</v>
      </c>
      <c r="Q447">
        <v>33</v>
      </c>
      <c r="R447" s="716"/>
      <c r="S447" s="716"/>
      <c r="U447">
        <v>11.4</v>
      </c>
      <c r="V447">
        <v>2.915</v>
      </c>
      <c r="W447">
        <v>34</v>
      </c>
      <c r="AA447">
        <v>-1</v>
      </c>
      <c r="AB447">
        <v>-1.01</v>
      </c>
      <c r="AD447">
        <v>1</v>
      </c>
      <c r="AF447">
        <v>11.18</v>
      </c>
      <c r="AG447">
        <v>3.4</v>
      </c>
      <c r="AI447">
        <v>10.3</v>
      </c>
      <c r="AJ447">
        <v>3.1</v>
      </c>
    </row>
    <row r="448" spans="1:40" customFormat="1" ht="18" customHeight="1">
      <c r="A448">
        <v>442</v>
      </c>
      <c r="B448" t="s">
        <v>1353</v>
      </c>
      <c r="C448" t="s">
        <v>139</v>
      </c>
      <c r="D448" t="s">
        <v>139</v>
      </c>
      <c r="E448" t="s">
        <v>2567</v>
      </c>
      <c r="F448" t="s">
        <v>1390</v>
      </c>
      <c r="G448">
        <v>2003</v>
      </c>
      <c r="H448" t="s">
        <v>1156</v>
      </c>
      <c r="K448" t="s">
        <v>1198</v>
      </c>
      <c r="L448" t="s">
        <v>2571</v>
      </c>
      <c r="M448" t="s">
        <v>2570</v>
      </c>
      <c r="O448">
        <v>9.9</v>
      </c>
      <c r="P448">
        <v>2.8</v>
      </c>
      <c r="Q448">
        <v>46</v>
      </c>
      <c r="R448" s="716">
        <v>490</v>
      </c>
      <c r="S448" s="716">
        <v>375</v>
      </c>
      <c r="U448">
        <v>10.199999999999999</v>
      </c>
      <c r="V448">
        <v>1.8</v>
      </c>
      <c r="W448">
        <v>18</v>
      </c>
      <c r="AA448">
        <v>-1</v>
      </c>
      <c r="AB448">
        <v>-0.16</v>
      </c>
      <c r="AD448">
        <v>1</v>
      </c>
      <c r="AF448">
        <v>10.75</v>
      </c>
      <c r="AG448">
        <v>2.1</v>
      </c>
      <c r="AI448">
        <v>13.1</v>
      </c>
      <c r="AJ448">
        <v>3.2</v>
      </c>
    </row>
    <row r="449" spans="1:40" customFormat="1" ht="18" customHeight="1">
      <c r="A449">
        <v>443</v>
      </c>
      <c r="B449" t="s">
        <v>908</v>
      </c>
      <c r="C449" t="s">
        <v>139</v>
      </c>
      <c r="D449" t="s">
        <v>139</v>
      </c>
      <c r="E449" t="s">
        <v>2567</v>
      </c>
      <c r="F449" t="s">
        <v>2710</v>
      </c>
      <c r="G449">
        <v>2017</v>
      </c>
      <c r="H449" t="s">
        <v>2638</v>
      </c>
      <c r="I449" t="s">
        <v>961</v>
      </c>
      <c r="J449" t="s">
        <v>961</v>
      </c>
      <c r="K449" t="s">
        <v>2597</v>
      </c>
      <c r="O449">
        <v>0.5</v>
      </c>
      <c r="P449">
        <v>0.8</v>
      </c>
      <c r="Q449">
        <v>37</v>
      </c>
      <c r="R449" s="716">
        <v>720</v>
      </c>
      <c r="S449" s="716"/>
      <c r="U449">
        <v>0.4</v>
      </c>
      <c r="V449">
        <v>0.8</v>
      </c>
      <c r="W449">
        <v>30</v>
      </c>
      <c r="Y449">
        <v>-0.13</v>
      </c>
      <c r="AA449">
        <v>1</v>
      </c>
      <c r="AB449">
        <v>-0.12</v>
      </c>
      <c r="AD449">
        <v>1</v>
      </c>
      <c r="AK449">
        <v>1</v>
      </c>
      <c r="AL449" t="s">
        <v>48</v>
      </c>
      <c r="AM449" t="s">
        <v>32</v>
      </c>
      <c r="AN449" t="s">
        <v>41</v>
      </c>
    </row>
    <row r="450" spans="1:40" customFormat="1" ht="18" customHeight="1">
      <c r="A450">
        <v>444</v>
      </c>
      <c r="B450" t="s">
        <v>908</v>
      </c>
      <c r="C450" t="s">
        <v>139</v>
      </c>
      <c r="D450" t="s">
        <v>139</v>
      </c>
      <c r="E450" t="s">
        <v>2567</v>
      </c>
      <c r="F450" t="s">
        <v>2710</v>
      </c>
      <c r="G450">
        <v>2017</v>
      </c>
      <c r="H450" t="s">
        <v>2640</v>
      </c>
      <c r="I450" t="s">
        <v>961</v>
      </c>
      <c r="J450" t="s">
        <v>961</v>
      </c>
      <c r="K450" t="s">
        <v>2599</v>
      </c>
      <c r="O450">
        <v>2.4</v>
      </c>
      <c r="P450">
        <v>2.7</v>
      </c>
      <c r="Q450">
        <v>37</v>
      </c>
      <c r="R450" s="716">
        <v>720</v>
      </c>
      <c r="S450" s="716"/>
      <c r="U450">
        <v>3.1</v>
      </c>
      <c r="V450">
        <v>4.4000000000000004</v>
      </c>
      <c r="W450">
        <v>30</v>
      </c>
      <c r="Y450">
        <v>0.19</v>
      </c>
      <c r="AA450">
        <v>1</v>
      </c>
      <c r="AB450">
        <v>0.16</v>
      </c>
      <c r="AD450">
        <v>1</v>
      </c>
      <c r="AK450">
        <v>1</v>
      </c>
      <c r="AL450" t="s">
        <v>48</v>
      </c>
      <c r="AM450" t="s">
        <v>32</v>
      </c>
      <c r="AN450" t="s">
        <v>41</v>
      </c>
    </row>
    <row r="451" spans="1:40" customFormat="1" ht="18" customHeight="1">
      <c r="A451">
        <v>445</v>
      </c>
      <c r="B451" t="s">
        <v>908</v>
      </c>
      <c r="C451" t="s">
        <v>139</v>
      </c>
      <c r="D451" t="s">
        <v>139</v>
      </c>
      <c r="E451" t="s">
        <v>2567</v>
      </c>
      <c r="F451" t="s">
        <v>54</v>
      </c>
      <c r="G451">
        <v>2020</v>
      </c>
      <c r="H451" t="s">
        <v>2529</v>
      </c>
      <c r="I451" t="s">
        <v>961</v>
      </c>
      <c r="J451" t="s">
        <v>961</v>
      </c>
      <c r="K451" t="s">
        <v>2599</v>
      </c>
      <c r="O451">
        <v>3.2</v>
      </c>
      <c r="P451">
        <v>4.7</v>
      </c>
      <c r="Q451">
        <v>19</v>
      </c>
      <c r="R451" s="716">
        <v>1042</v>
      </c>
      <c r="S451" s="716"/>
      <c r="U451">
        <v>2.8</v>
      </c>
      <c r="V451">
        <v>4.7</v>
      </c>
      <c r="W451">
        <v>19</v>
      </c>
      <c r="Y451">
        <v>-0.09</v>
      </c>
      <c r="AA451">
        <v>1</v>
      </c>
      <c r="AB451">
        <v>-0.08</v>
      </c>
      <c r="AD451">
        <v>1</v>
      </c>
      <c r="AK451">
        <v>1</v>
      </c>
      <c r="AL451" t="s">
        <v>48</v>
      </c>
      <c r="AM451" t="s">
        <v>24</v>
      </c>
      <c r="AN451" t="s">
        <v>41</v>
      </c>
    </row>
    <row r="452" spans="1:40" customFormat="1" ht="18" customHeight="1">
      <c r="A452">
        <v>446</v>
      </c>
      <c r="B452" t="s">
        <v>908</v>
      </c>
      <c r="C452" t="s">
        <v>139</v>
      </c>
      <c r="D452" t="s">
        <v>139</v>
      </c>
      <c r="E452" t="s">
        <v>2567</v>
      </c>
      <c r="F452" t="s">
        <v>2710</v>
      </c>
      <c r="G452">
        <v>2017</v>
      </c>
      <c r="H452" t="s">
        <v>2530</v>
      </c>
      <c r="I452" t="s">
        <v>961</v>
      </c>
      <c r="J452" t="s">
        <v>961</v>
      </c>
      <c r="K452" t="s">
        <v>2601</v>
      </c>
      <c r="O452">
        <v>0.8</v>
      </c>
      <c r="P452">
        <v>1.1000000000000001</v>
      </c>
      <c r="Q452">
        <v>37</v>
      </c>
      <c r="R452" s="716">
        <v>720</v>
      </c>
      <c r="S452" s="716"/>
      <c r="U452">
        <v>0.6</v>
      </c>
      <c r="V452">
        <v>0.6</v>
      </c>
      <c r="W452">
        <v>30</v>
      </c>
      <c r="Y452">
        <v>-0.23</v>
      </c>
      <c r="AA452">
        <v>1</v>
      </c>
      <c r="AB452">
        <v>-0.33</v>
      </c>
      <c r="AD452">
        <v>1</v>
      </c>
      <c r="AK452">
        <v>1</v>
      </c>
      <c r="AL452" t="s">
        <v>48</v>
      </c>
      <c r="AM452" t="s">
        <v>32</v>
      </c>
      <c r="AN452" t="s">
        <v>41</v>
      </c>
    </row>
    <row r="453" spans="1:40" customFormat="1" ht="18" customHeight="1">
      <c r="A453">
        <v>447</v>
      </c>
      <c r="B453" t="s">
        <v>908</v>
      </c>
      <c r="C453" t="s">
        <v>139</v>
      </c>
      <c r="D453" t="s">
        <v>139</v>
      </c>
      <c r="E453" t="s">
        <v>2567</v>
      </c>
      <c r="F453" t="s">
        <v>54</v>
      </c>
      <c r="G453">
        <v>2020</v>
      </c>
      <c r="H453" t="s">
        <v>2530</v>
      </c>
      <c r="I453" t="s">
        <v>961</v>
      </c>
      <c r="J453" t="s">
        <v>961</v>
      </c>
      <c r="K453" t="s">
        <v>2601</v>
      </c>
      <c r="O453">
        <v>0.8</v>
      </c>
      <c r="P453">
        <v>0.6</v>
      </c>
      <c r="Q453">
        <v>19</v>
      </c>
      <c r="R453" s="716">
        <v>1042</v>
      </c>
      <c r="S453" s="716"/>
      <c r="U453">
        <v>0.5</v>
      </c>
      <c r="V453">
        <v>1.1000000000000001</v>
      </c>
      <c r="W453">
        <v>19</v>
      </c>
      <c r="Y453">
        <v>-0.34</v>
      </c>
      <c r="AA453">
        <v>1</v>
      </c>
      <c r="AB453">
        <v>-0.27</v>
      </c>
      <c r="AD453">
        <v>1</v>
      </c>
      <c r="AK453">
        <v>1</v>
      </c>
      <c r="AL453" t="s">
        <v>48</v>
      </c>
      <c r="AM453" t="s">
        <v>24</v>
      </c>
      <c r="AN453" t="s">
        <v>41</v>
      </c>
    </row>
    <row r="454" spans="1:40" customFormat="1" ht="18" customHeight="1">
      <c r="A454">
        <v>448</v>
      </c>
      <c r="B454" t="s">
        <v>908</v>
      </c>
      <c r="C454" t="s">
        <v>139</v>
      </c>
      <c r="D454" t="s">
        <v>139</v>
      </c>
      <c r="E454" t="s">
        <v>2567</v>
      </c>
      <c r="F454" t="s">
        <v>2710</v>
      </c>
      <c r="G454">
        <v>2017</v>
      </c>
      <c r="H454" t="s">
        <v>2531</v>
      </c>
      <c r="I454" t="s">
        <v>961</v>
      </c>
      <c r="J454" t="s">
        <v>961</v>
      </c>
      <c r="K454" t="s">
        <v>2603</v>
      </c>
      <c r="O454">
        <v>1.6</v>
      </c>
      <c r="P454">
        <v>2.6</v>
      </c>
      <c r="Q454">
        <v>37</v>
      </c>
      <c r="R454" s="716">
        <v>720</v>
      </c>
      <c r="S454" s="716"/>
      <c r="U454">
        <v>2</v>
      </c>
      <c r="V454">
        <v>2.2999999999999998</v>
      </c>
      <c r="W454">
        <v>30</v>
      </c>
      <c r="Y454">
        <v>0.16</v>
      </c>
      <c r="AA454">
        <v>1</v>
      </c>
      <c r="AB454">
        <v>0.17</v>
      </c>
      <c r="AD454">
        <v>1</v>
      </c>
      <c r="AK454">
        <v>1</v>
      </c>
      <c r="AL454" t="s">
        <v>48</v>
      </c>
      <c r="AM454" t="s">
        <v>32</v>
      </c>
      <c r="AN454" t="s">
        <v>41</v>
      </c>
    </row>
    <row r="455" spans="1:40" customFormat="1" ht="18" customHeight="1">
      <c r="A455">
        <v>449</v>
      </c>
      <c r="B455" t="s">
        <v>908</v>
      </c>
      <c r="C455" t="s">
        <v>139</v>
      </c>
      <c r="D455" t="s">
        <v>139</v>
      </c>
      <c r="E455" t="s">
        <v>2567</v>
      </c>
      <c r="F455" t="s">
        <v>54</v>
      </c>
      <c r="G455">
        <v>2020</v>
      </c>
      <c r="H455" t="s">
        <v>2531</v>
      </c>
      <c r="I455" t="s">
        <v>961</v>
      </c>
      <c r="J455" t="s">
        <v>961</v>
      </c>
      <c r="K455" t="s">
        <v>2603</v>
      </c>
      <c r="O455">
        <v>1.6</v>
      </c>
      <c r="P455">
        <v>4.7</v>
      </c>
      <c r="Q455">
        <v>19</v>
      </c>
      <c r="R455" s="716">
        <v>1042</v>
      </c>
      <c r="S455" s="716"/>
      <c r="U455">
        <v>0.6</v>
      </c>
      <c r="V455">
        <v>1.2</v>
      </c>
      <c r="W455">
        <v>19</v>
      </c>
      <c r="Y455">
        <v>-0.28999999999999998</v>
      </c>
      <c r="AA455">
        <v>1</v>
      </c>
      <c r="AB455">
        <v>-0.82</v>
      </c>
      <c r="AD455">
        <v>1</v>
      </c>
      <c r="AK455">
        <v>1</v>
      </c>
      <c r="AL455" t="s">
        <v>48</v>
      </c>
      <c r="AM455" t="s">
        <v>24</v>
      </c>
      <c r="AN455" t="s">
        <v>41</v>
      </c>
    </row>
    <row r="456" spans="1:40" customFormat="1" ht="18" customHeight="1">
      <c r="A456">
        <v>450</v>
      </c>
      <c r="B456" t="s">
        <v>908</v>
      </c>
      <c r="C456" t="s">
        <v>139</v>
      </c>
      <c r="D456" t="s">
        <v>139</v>
      </c>
      <c r="E456" t="s">
        <v>2567</v>
      </c>
      <c r="F456" t="s">
        <v>2464</v>
      </c>
      <c r="G456">
        <v>2017</v>
      </c>
      <c r="H456" t="s">
        <v>2532</v>
      </c>
      <c r="I456" t="s">
        <v>961</v>
      </c>
      <c r="J456" t="s">
        <v>961</v>
      </c>
      <c r="K456" t="s">
        <v>2595</v>
      </c>
      <c r="O456">
        <v>10.3</v>
      </c>
      <c r="P456">
        <v>6.6</v>
      </c>
      <c r="Q456">
        <v>57</v>
      </c>
      <c r="R456" s="716">
        <v>655</v>
      </c>
      <c r="S456" s="716"/>
      <c r="U456">
        <v>9.1999999999999993</v>
      </c>
      <c r="V456">
        <v>8</v>
      </c>
      <c r="W456">
        <v>57</v>
      </c>
      <c r="Y456">
        <v>-0.15</v>
      </c>
      <c r="AA456">
        <v>1</v>
      </c>
      <c r="AB456">
        <v>-0.14000000000000001</v>
      </c>
      <c r="AD456">
        <v>1</v>
      </c>
      <c r="AK456">
        <v>1</v>
      </c>
      <c r="AL456" t="s">
        <v>48</v>
      </c>
      <c r="AM456" t="s">
        <v>24</v>
      </c>
      <c r="AN456" t="s">
        <v>41</v>
      </c>
    </row>
    <row r="457" spans="1:40" customFormat="1" ht="18" customHeight="1">
      <c r="A457">
        <v>451</v>
      </c>
      <c r="B457" t="s">
        <v>908</v>
      </c>
      <c r="C457" t="s">
        <v>139</v>
      </c>
      <c r="D457" t="s">
        <v>139</v>
      </c>
      <c r="E457" t="s">
        <v>2567</v>
      </c>
      <c r="F457" t="s">
        <v>2464</v>
      </c>
      <c r="G457">
        <v>2017</v>
      </c>
      <c r="H457" t="s">
        <v>2533</v>
      </c>
      <c r="I457" t="s">
        <v>961</v>
      </c>
      <c r="J457" t="s">
        <v>961</v>
      </c>
      <c r="K457" t="s">
        <v>2596</v>
      </c>
      <c r="O457">
        <v>1.7</v>
      </c>
      <c r="P457">
        <v>2.4</v>
      </c>
      <c r="Q457">
        <v>57</v>
      </c>
      <c r="R457" s="716">
        <v>655</v>
      </c>
      <c r="S457" s="716"/>
      <c r="U457">
        <v>1.7</v>
      </c>
      <c r="V457">
        <v>2.2000000000000002</v>
      </c>
      <c r="W457">
        <v>57</v>
      </c>
      <c r="Y457">
        <v>0</v>
      </c>
      <c r="AA457">
        <v>1</v>
      </c>
      <c r="AB457">
        <v>0</v>
      </c>
      <c r="AD457">
        <v>1</v>
      </c>
      <c r="AK457">
        <v>1</v>
      </c>
      <c r="AL457" t="s">
        <v>48</v>
      </c>
      <c r="AM457" t="s">
        <v>24</v>
      </c>
      <c r="AN457" t="s">
        <v>41</v>
      </c>
    </row>
    <row r="458" spans="1:40" customFormat="1" ht="18" customHeight="1">
      <c r="A458">
        <v>452</v>
      </c>
      <c r="B458" t="s">
        <v>1353</v>
      </c>
      <c r="C458" t="s">
        <v>139</v>
      </c>
      <c r="D458" t="s">
        <v>139</v>
      </c>
      <c r="E458" t="s">
        <v>2567</v>
      </c>
      <c r="F458" t="s">
        <v>2461</v>
      </c>
      <c r="G458">
        <v>2008</v>
      </c>
      <c r="H458" t="s">
        <v>513</v>
      </c>
      <c r="K458" t="s">
        <v>1159</v>
      </c>
      <c r="L458" t="s">
        <v>2142</v>
      </c>
      <c r="M458" s="510" t="s">
        <v>1417</v>
      </c>
      <c r="O458">
        <v>17.600000000000001</v>
      </c>
      <c r="P458">
        <v>2.8719999999999999</v>
      </c>
      <c r="Q458">
        <v>33</v>
      </c>
      <c r="R458" s="716" t="s">
        <v>1149</v>
      </c>
      <c r="S458" s="716" t="s">
        <v>1149</v>
      </c>
      <c r="U458">
        <v>18.8</v>
      </c>
      <c r="V458">
        <v>2.3319999999999999</v>
      </c>
      <c r="W458">
        <v>34</v>
      </c>
      <c r="AA458">
        <v>-1</v>
      </c>
      <c r="AB458">
        <v>-0.5</v>
      </c>
      <c r="AD458">
        <v>1</v>
      </c>
      <c r="AF458">
        <v>11.18</v>
      </c>
      <c r="AG458">
        <v>3.4</v>
      </c>
      <c r="AI458">
        <v>10.3</v>
      </c>
      <c r="AJ458">
        <v>3.1</v>
      </c>
    </row>
    <row r="459" spans="1:40" customFormat="1" ht="18" customHeight="1">
      <c r="A459">
        <v>453</v>
      </c>
      <c r="B459" t="s">
        <v>1353</v>
      </c>
      <c r="C459" t="s">
        <v>139</v>
      </c>
      <c r="D459" t="s">
        <v>139</v>
      </c>
      <c r="E459" t="s">
        <v>2567</v>
      </c>
      <c r="F459" t="s">
        <v>1390</v>
      </c>
      <c r="G459">
        <v>2003</v>
      </c>
      <c r="H459" t="s">
        <v>1156</v>
      </c>
      <c r="K459" t="s">
        <v>1215</v>
      </c>
      <c r="M459" t="s">
        <v>2570</v>
      </c>
      <c r="O459">
        <v>0.1</v>
      </c>
      <c r="P459">
        <v>0.1</v>
      </c>
      <c r="Q459">
        <v>46</v>
      </c>
      <c r="R459" s="716">
        <v>490</v>
      </c>
      <c r="S459" s="716">
        <v>375</v>
      </c>
      <c r="U459">
        <v>0</v>
      </c>
      <c r="V459">
        <v>0.1</v>
      </c>
      <c r="W459">
        <v>18</v>
      </c>
      <c r="AA459">
        <v>1</v>
      </c>
      <c r="AB459">
        <v>-0.99</v>
      </c>
      <c r="AD459">
        <v>1</v>
      </c>
      <c r="AF459">
        <v>10.75</v>
      </c>
      <c r="AG459">
        <v>2.1</v>
      </c>
      <c r="AI459">
        <v>13.1</v>
      </c>
      <c r="AJ459">
        <v>3.2</v>
      </c>
    </row>
    <row r="460" spans="1:40" customFormat="1" ht="18" customHeight="1">
      <c r="A460">
        <v>454</v>
      </c>
      <c r="B460" t="s">
        <v>1353</v>
      </c>
      <c r="C460" t="s">
        <v>139</v>
      </c>
      <c r="D460" t="s">
        <v>139</v>
      </c>
      <c r="E460" t="s">
        <v>2567</v>
      </c>
      <c r="F460" t="s">
        <v>2124</v>
      </c>
      <c r="G460">
        <v>1995</v>
      </c>
      <c r="H460" t="s">
        <v>2126</v>
      </c>
      <c r="K460" t="s">
        <v>2151</v>
      </c>
      <c r="L460" t="s">
        <v>2127</v>
      </c>
      <c r="O460">
        <v>3.3</v>
      </c>
      <c r="P460">
        <v>3.52</v>
      </c>
      <c r="Q460">
        <v>10</v>
      </c>
      <c r="R460" s="716">
        <v>348</v>
      </c>
      <c r="S460" s="716"/>
      <c r="U460">
        <v>3.5</v>
      </c>
      <c r="V460">
        <v>1.46</v>
      </c>
      <c r="W460">
        <v>10</v>
      </c>
      <c r="AA460">
        <v>-1</v>
      </c>
      <c r="AB460">
        <v>-0.12</v>
      </c>
      <c r="AD460">
        <v>1</v>
      </c>
      <c r="AF460">
        <v>7.53</v>
      </c>
      <c r="AG460" t="s">
        <v>24</v>
      </c>
      <c r="AI460">
        <v>7.59</v>
      </c>
      <c r="AJ460" t="s">
        <v>24</v>
      </c>
      <c r="AL460" t="s">
        <v>2075</v>
      </c>
    </row>
    <row r="461" spans="1:40" customFormat="1" ht="18" customHeight="1">
      <c r="A461">
        <v>455</v>
      </c>
      <c r="B461" t="s">
        <v>1553</v>
      </c>
      <c r="C461" t="s">
        <v>139</v>
      </c>
      <c r="D461" t="s">
        <v>139</v>
      </c>
      <c r="E461" t="s">
        <v>2567</v>
      </c>
      <c r="F461" t="s">
        <v>2124</v>
      </c>
      <c r="G461">
        <v>1995</v>
      </c>
      <c r="H461" t="s">
        <v>2126</v>
      </c>
      <c r="K461" t="s">
        <v>2151</v>
      </c>
      <c r="O461">
        <v>7.4</v>
      </c>
      <c r="P461">
        <v>3.95</v>
      </c>
      <c r="Q461">
        <v>10</v>
      </c>
      <c r="R461" s="716">
        <v>1014</v>
      </c>
      <c r="S461" s="716">
        <v>216</v>
      </c>
      <c r="U461">
        <v>9.8000000000000007</v>
      </c>
      <c r="V461">
        <v>5.0599999999999996</v>
      </c>
      <c r="W461">
        <v>10</v>
      </c>
      <c r="AA461">
        <v>-1</v>
      </c>
      <c r="AB461">
        <v>-0.45</v>
      </c>
      <c r="AD461">
        <v>1</v>
      </c>
      <c r="AF461">
        <v>20.6</v>
      </c>
      <c r="AG461">
        <v>3.8</v>
      </c>
      <c r="AH461" t="s">
        <v>2147</v>
      </c>
    </row>
    <row r="462" spans="1:40" customFormat="1" ht="18" customHeight="1">
      <c r="A462">
        <v>456</v>
      </c>
      <c r="B462" t="s">
        <v>1353</v>
      </c>
      <c r="C462" t="s">
        <v>124</v>
      </c>
      <c r="D462" t="s">
        <v>124</v>
      </c>
      <c r="E462" t="s">
        <v>2567</v>
      </c>
      <c r="F462" t="s">
        <v>2124</v>
      </c>
      <c r="G462">
        <v>1995</v>
      </c>
      <c r="H462" t="s">
        <v>1014</v>
      </c>
      <c r="I462" t="s">
        <v>1419</v>
      </c>
      <c r="K462" t="s">
        <v>2123</v>
      </c>
      <c r="O462">
        <v>3.3</v>
      </c>
      <c r="P462">
        <v>0.89</v>
      </c>
      <c r="Q462">
        <v>10</v>
      </c>
      <c r="R462" s="716">
        <v>348</v>
      </c>
      <c r="S462" s="716"/>
      <c r="U462">
        <v>3</v>
      </c>
      <c r="V462">
        <v>0.52</v>
      </c>
      <c r="W462">
        <v>10</v>
      </c>
      <c r="AA462">
        <v>1</v>
      </c>
      <c r="AB462">
        <v>-0.66</v>
      </c>
      <c r="AD462">
        <v>1</v>
      </c>
      <c r="AF462">
        <v>7.53</v>
      </c>
      <c r="AG462" t="s">
        <v>24</v>
      </c>
      <c r="AI462">
        <v>7.59</v>
      </c>
      <c r="AJ462" t="s">
        <v>24</v>
      </c>
      <c r="AL462" t="s">
        <v>2075</v>
      </c>
    </row>
    <row r="463" spans="1:40" customFormat="1" ht="18" customHeight="1">
      <c r="A463">
        <v>457</v>
      </c>
      <c r="B463" t="s">
        <v>1553</v>
      </c>
      <c r="C463" t="s">
        <v>124</v>
      </c>
      <c r="D463" t="s">
        <v>124</v>
      </c>
      <c r="E463" t="s">
        <v>2567</v>
      </c>
      <c r="F463" t="s">
        <v>2124</v>
      </c>
      <c r="G463">
        <v>1995</v>
      </c>
      <c r="H463" t="s">
        <v>1014</v>
      </c>
      <c r="I463" t="s">
        <v>1419</v>
      </c>
      <c r="K463" t="s">
        <v>2123</v>
      </c>
      <c r="O463">
        <v>2.4</v>
      </c>
      <c r="P463">
        <v>0.77</v>
      </c>
      <c r="Q463">
        <v>10</v>
      </c>
      <c r="R463" s="716">
        <v>1014</v>
      </c>
      <c r="S463" s="716">
        <v>216</v>
      </c>
      <c r="U463">
        <v>2.2000000000000002</v>
      </c>
      <c r="V463">
        <v>0.47</v>
      </c>
      <c r="W463">
        <v>10</v>
      </c>
      <c r="AA463">
        <v>-1</v>
      </c>
      <c r="AB463">
        <v>0.35</v>
      </c>
      <c r="AD463">
        <v>1</v>
      </c>
    </row>
    <row r="464" spans="1:40" customFormat="1" ht="18" customHeight="1">
      <c r="A464">
        <v>458</v>
      </c>
      <c r="B464" t="s">
        <v>908</v>
      </c>
      <c r="C464" t="s">
        <v>124</v>
      </c>
      <c r="D464" t="s">
        <v>124</v>
      </c>
      <c r="E464" t="s">
        <v>2567</v>
      </c>
      <c r="F464" t="s">
        <v>2481</v>
      </c>
      <c r="G464">
        <v>1997</v>
      </c>
      <c r="H464" t="s">
        <v>122</v>
      </c>
      <c r="I464" t="s">
        <v>1419</v>
      </c>
      <c r="K464" t="s">
        <v>123</v>
      </c>
      <c r="O464">
        <v>248</v>
      </c>
      <c r="P464">
        <v>42</v>
      </c>
      <c r="Q464">
        <v>8</v>
      </c>
      <c r="R464" s="716">
        <v>870</v>
      </c>
      <c r="S464" s="716"/>
      <c r="U464">
        <v>186</v>
      </c>
      <c r="V464">
        <v>80.8</v>
      </c>
      <c r="W464">
        <v>8</v>
      </c>
      <c r="Y464">
        <v>-0.96</v>
      </c>
      <c r="AA464">
        <v>1</v>
      </c>
      <c r="AB464">
        <v>-0.73</v>
      </c>
      <c r="AD464">
        <v>1</v>
      </c>
      <c r="AK464">
        <v>4</v>
      </c>
      <c r="AL464" t="s">
        <v>57</v>
      </c>
      <c r="AM464" t="s">
        <v>72</v>
      </c>
      <c r="AN464" t="s">
        <v>57</v>
      </c>
    </row>
    <row r="465" spans="1:40" customFormat="1" ht="18" customHeight="1">
      <c r="A465">
        <v>459</v>
      </c>
      <c r="B465" t="s">
        <v>908</v>
      </c>
      <c r="C465" t="s">
        <v>124</v>
      </c>
      <c r="D465" t="s">
        <v>124</v>
      </c>
      <c r="E465" t="s">
        <v>2567</v>
      </c>
      <c r="F465" t="s">
        <v>2484</v>
      </c>
      <c r="G465">
        <v>2011</v>
      </c>
      <c r="H465" t="s">
        <v>2636</v>
      </c>
      <c r="I465" t="s">
        <v>1419</v>
      </c>
      <c r="K465" t="s">
        <v>125</v>
      </c>
      <c r="O465">
        <v>6</v>
      </c>
      <c r="P465">
        <v>0.92</v>
      </c>
      <c r="Q465">
        <v>21</v>
      </c>
      <c r="R465" s="716">
        <v>640</v>
      </c>
      <c r="S465" s="716"/>
      <c r="U465">
        <v>5.9</v>
      </c>
      <c r="V465">
        <v>0.18</v>
      </c>
      <c r="W465">
        <v>21</v>
      </c>
      <c r="Y465">
        <v>-0.09</v>
      </c>
      <c r="AA465">
        <v>-1</v>
      </c>
      <c r="AB465">
        <v>0.33</v>
      </c>
      <c r="AD465">
        <v>1</v>
      </c>
      <c r="AK465" t="s">
        <v>23</v>
      </c>
      <c r="AL465" t="s">
        <v>126</v>
      </c>
      <c r="AM465" t="s">
        <v>127</v>
      </c>
      <c r="AN465" t="s">
        <v>41</v>
      </c>
    </row>
    <row r="466" spans="1:40" customFormat="1" ht="18" customHeight="1">
      <c r="A466">
        <v>460</v>
      </c>
      <c r="B466" t="s">
        <v>908</v>
      </c>
      <c r="C466" t="s">
        <v>124</v>
      </c>
      <c r="D466" t="s">
        <v>124</v>
      </c>
      <c r="E466" t="s">
        <v>2567</v>
      </c>
      <c r="F466" t="s">
        <v>2485</v>
      </c>
      <c r="G466">
        <v>2011</v>
      </c>
      <c r="H466" t="s">
        <v>2636</v>
      </c>
      <c r="I466" t="s">
        <v>1419</v>
      </c>
      <c r="K466" t="s">
        <v>125</v>
      </c>
      <c r="O466">
        <v>5.6</v>
      </c>
      <c r="P466">
        <v>0.77</v>
      </c>
      <c r="Q466">
        <v>56</v>
      </c>
      <c r="R466" s="716">
        <v>1461</v>
      </c>
      <c r="S466" s="716"/>
      <c r="U466">
        <v>5.9</v>
      </c>
      <c r="V466">
        <v>0.11</v>
      </c>
      <c r="W466">
        <v>56</v>
      </c>
      <c r="Y466">
        <v>0.65</v>
      </c>
      <c r="AA466">
        <v>-1</v>
      </c>
      <c r="AB466">
        <v>-3.25</v>
      </c>
      <c r="AD466">
        <v>1</v>
      </c>
      <c r="AK466" t="s">
        <v>23</v>
      </c>
      <c r="AL466" t="s">
        <v>126</v>
      </c>
      <c r="AM466" t="s">
        <v>127</v>
      </c>
      <c r="AN466" t="s">
        <v>57</v>
      </c>
    </row>
    <row r="467" spans="1:40" customFormat="1" ht="18" customHeight="1">
      <c r="A467">
        <v>461</v>
      </c>
      <c r="B467" t="s">
        <v>908</v>
      </c>
      <c r="C467" t="s">
        <v>124</v>
      </c>
      <c r="D467" t="s">
        <v>124</v>
      </c>
      <c r="E467" t="s">
        <v>2567</v>
      </c>
      <c r="F467" t="s">
        <v>2710</v>
      </c>
      <c r="G467">
        <v>2017</v>
      </c>
      <c r="H467" t="s">
        <v>128</v>
      </c>
      <c r="I467" t="s">
        <v>1419</v>
      </c>
      <c r="J467" t="s">
        <v>1419</v>
      </c>
      <c r="K467" t="s">
        <v>129</v>
      </c>
      <c r="O467">
        <v>332</v>
      </c>
      <c r="P467">
        <v>52.9</v>
      </c>
      <c r="Q467">
        <v>37</v>
      </c>
      <c r="R467" s="716">
        <v>720</v>
      </c>
      <c r="S467" s="716"/>
      <c r="U467">
        <v>316</v>
      </c>
      <c r="V467">
        <v>56.9</v>
      </c>
      <c r="W467">
        <v>30</v>
      </c>
      <c r="Y467">
        <v>-0.28999999999999998</v>
      </c>
      <c r="AA467">
        <v>1</v>
      </c>
      <c r="AB467">
        <v>-0.28000000000000003</v>
      </c>
      <c r="AD467">
        <v>1</v>
      </c>
      <c r="AK467">
        <v>1</v>
      </c>
      <c r="AL467" t="s">
        <v>48</v>
      </c>
      <c r="AM467" t="s">
        <v>32</v>
      </c>
      <c r="AN467" t="s">
        <v>57</v>
      </c>
    </row>
    <row r="468" spans="1:40" customFormat="1" ht="18" customHeight="1">
      <c r="A468">
        <v>462</v>
      </c>
      <c r="B468" t="s">
        <v>908</v>
      </c>
      <c r="C468" t="s">
        <v>124</v>
      </c>
      <c r="D468" t="s">
        <v>124</v>
      </c>
      <c r="E468" t="s">
        <v>2567</v>
      </c>
      <c r="F468" t="s">
        <v>54</v>
      </c>
      <c r="G468">
        <v>2020</v>
      </c>
      <c r="H468" t="s">
        <v>128</v>
      </c>
      <c r="I468" t="s">
        <v>1419</v>
      </c>
      <c r="K468" t="s">
        <v>129</v>
      </c>
      <c r="O468">
        <v>325</v>
      </c>
      <c r="P468">
        <v>46</v>
      </c>
      <c r="Q468">
        <v>19</v>
      </c>
      <c r="R468" s="716">
        <v>1042</v>
      </c>
      <c r="S468" s="716"/>
      <c r="U468">
        <v>315</v>
      </c>
      <c r="V468">
        <v>44.6</v>
      </c>
      <c r="W468">
        <v>19</v>
      </c>
      <c r="Y468">
        <v>-0.22</v>
      </c>
      <c r="AA468">
        <v>1</v>
      </c>
      <c r="AB468">
        <v>-0.22</v>
      </c>
      <c r="AD468">
        <v>1</v>
      </c>
      <c r="AE468">
        <v>-0.63</v>
      </c>
      <c r="AK468">
        <v>1</v>
      </c>
      <c r="AL468" t="s">
        <v>48</v>
      </c>
      <c r="AM468" t="s">
        <v>24</v>
      </c>
      <c r="AN468" t="s">
        <v>57</v>
      </c>
    </row>
    <row r="469" spans="1:40" customFormat="1" ht="18" customHeight="1">
      <c r="A469">
        <v>463</v>
      </c>
      <c r="B469" t="s">
        <v>908</v>
      </c>
      <c r="C469" t="s">
        <v>124</v>
      </c>
      <c r="D469" t="s">
        <v>124</v>
      </c>
      <c r="E469" t="s">
        <v>2567</v>
      </c>
      <c r="F469" t="s">
        <v>2055</v>
      </c>
      <c r="G469">
        <v>2022</v>
      </c>
      <c r="H469" t="s">
        <v>1672</v>
      </c>
      <c r="I469" t="s">
        <v>1419</v>
      </c>
      <c r="K469" t="s">
        <v>1673</v>
      </c>
      <c r="L469" t="s">
        <v>1674</v>
      </c>
      <c r="M469" t="s">
        <v>1675</v>
      </c>
      <c r="N469" t="s">
        <v>1676</v>
      </c>
      <c r="O469">
        <v>45.5</v>
      </c>
      <c r="P469">
        <v>9.8000000000000007</v>
      </c>
      <c r="Q469">
        <v>30</v>
      </c>
      <c r="R469" s="716">
        <v>741</v>
      </c>
      <c r="S469" s="716" t="s">
        <v>1619</v>
      </c>
      <c r="U469">
        <v>47</v>
      </c>
      <c r="V469">
        <v>12</v>
      </c>
      <c r="W469">
        <v>54</v>
      </c>
      <c r="X469" t="s">
        <v>1149</v>
      </c>
      <c r="Y469">
        <v>0.14000000000000001</v>
      </c>
      <c r="AA469">
        <v>-1</v>
      </c>
      <c r="AB469">
        <v>-0.12</v>
      </c>
      <c r="AD469">
        <v>1</v>
      </c>
      <c r="AF469" t="s">
        <v>1149</v>
      </c>
    </row>
    <row r="470" spans="1:40" customFormat="1" ht="18" customHeight="1">
      <c r="A470">
        <v>464</v>
      </c>
      <c r="B470" t="s">
        <v>908</v>
      </c>
      <c r="C470" t="s">
        <v>124</v>
      </c>
      <c r="D470" t="s">
        <v>124</v>
      </c>
      <c r="E470" t="s">
        <v>2567</v>
      </c>
      <c r="F470" t="s">
        <v>2055</v>
      </c>
      <c r="G470">
        <v>2022</v>
      </c>
      <c r="H470" t="s">
        <v>1672</v>
      </c>
      <c r="K470" t="s">
        <v>1673</v>
      </c>
      <c r="L470" t="s">
        <v>1620</v>
      </c>
      <c r="M470" t="s">
        <v>1641</v>
      </c>
      <c r="N470" t="s">
        <v>1621</v>
      </c>
      <c r="O470">
        <v>3.2</v>
      </c>
      <c r="P470">
        <v>37.4</v>
      </c>
      <c r="Q470">
        <v>30</v>
      </c>
      <c r="R470" s="716">
        <v>741</v>
      </c>
      <c r="S470" s="716" t="s">
        <v>1619</v>
      </c>
      <c r="U470">
        <v>-0.8</v>
      </c>
      <c r="V470">
        <v>32.700000000000003</v>
      </c>
      <c r="W470">
        <v>54</v>
      </c>
      <c r="X470" t="s">
        <v>1149</v>
      </c>
      <c r="Y470">
        <v>-0.11</v>
      </c>
      <c r="AA470">
        <v>1</v>
      </c>
      <c r="AB470">
        <v>-0.12</v>
      </c>
      <c r="AD470">
        <v>0</v>
      </c>
      <c r="AF470" t="s">
        <v>1149</v>
      </c>
    </row>
    <row r="471" spans="1:40" customFormat="1" ht="18" customHeight="1">
      <c r="A471">
        <v>465</v>
      </c>
      <c r="B471" t="s">
        <v>1353</v>
      </c>
      <c r="C471" t="s">
        <v>124</v>
      </c>
      <c r="D471" t="s">
        <v>124</v>
      </c>
      <c r="E471" t="s">
        <v>2567</v>
      </c>
      <c r="F471" t="s">
        <v>1397</v>
      </c>
      <c r="G471">
        <v>2006</v>
      </c>
      <c r="H471" t="s">
        <v>2534</v>
      </c>
      <c r="I471" t="s">
        <v>961</v>
      </c>
      <c r="J471" t="s">
        <v>961</v>
      </c>
      <c r="O471">
        <v>2</v>
      </c>
      <c r="P471">
        <v>2</v>
      </c>
      <c r="Q471">
        <v>26</v>
      </c>
      <c r="R471" s="716">
        <v>424</v>
      </c>
      <c r="S471" s="716">
        <v>339</v>
      </c>
      <c r="U471">
        <v>1.4</v>
      </c>
      <c r="V471">
        <v>1.8</v>
      </c>
      <c r="W471">
        <v>25</v>
      </c>
      <c r="AA471">
        <v>1</v>
      </c>
      <c r="AB471">
        <v>-0.33</v>
      </c>
      <c r="AD471">
        <v>1</v>
      </c>
      <c r="AF471">
        <v>11.2</v>
      </c>
      <c r="AG471">
        <v>3.1</v>
      </c>
      <c r="AI471">
        <v>11.3</v>
      </c>
      <c r="AJ471">
        <v>3.4</v>
      </c>
    </row>
    <row r="472" spans="1:40" customFormat="1" ht="18" customHeight="1">
      <c r="A472">
        <v>466</v>
      </c>
      <c r="B472" t="s">
        <v>1353</v>
      </c>
      <c r="C472" t="s">
        <v>124</v>
      </c>
      <c r="D472" t="s">
        <v>124</v>
      </c>
      <c r="E472" t="s">
        <v>2567</v>
      </c>
      <c r="F472" t="s">
        <v>585</v>
      </c>
      <c r="G472">
        <v>2012</v>
      </c>
      <c r="H472" t="s">
        <v>128</v>
      </c>
      <c r="I472" t="s">
        <v>1419</v>
      </c>
      <c r="O472">
        <v>435</v>
      </c>
      <c r="P472">
        <v>103</v>
      </c>
      <c r="Q472">
        <v>42</v>
      </c>
      <c r="R472" s="716">
        <v>546</v>
      </c>
      <c r="S472" s="716">
        <v>331</v>
      </c>
      <c r="U472">
        <v>383</v>
      </c>
      <c r="V472">
        <v>80</v>
      </c>
      <c r="W472">
        <v>81</v>
      </c>
      <c r="AA472">
        <v>1</v>
      </c>
      <c r="AB472">
        <v>-0.65</v>
      </c>
      <c r="AD472">
        <v>1</v>
      </c>
      <c r="AF472">
        <v>11.8</v>
      </c>
      <c r="AG472">
        <v>3.5</v>
      </c>
      <c r="AI472">
        <v>12.3</v>
      </c>
      <c r="AJ472">
        <v>3.2</v>
      </c>
    </row>
    <row r="473" spans="1:40" customFormat="1" ht="18" customHeight="1">
      <c r="A473">
        <v>467</v>
      </c>
      <c r="B473" t="s">
        <v>1353</v>
      </c>
      <c r="C473" t="s">
        <v>124</v>
      </c>
      <c r="D473" t="s">
        <v>124</v>
      </c>
      <c r="E473" t="s">
        <v>2567</v>
      </c>
      <c r="F473" t="s">
        <v>1397</v>
      </c>
      <c r="G473">
        <v>2006</v>
      </c>
      <c r="H473" t="s">
        <v>128</v>
      </c>
      <c r="I473" t="s">
        <v>1419</v>
      </c>
      <c r="J473" t="s">
        <v>1419</v>
      </c>
      <c r="O473">
        <v>335</v>
      </c>
      <c r="P473">
        <v>60</v>
      </c>
      <c r="Q473">
        <v>26</v>
      </c>
      <c r="R473" s="716">
        <v>424</v>
      </c>
      <c r="S473" s="716">
        <v>339</v>
      </c>
      <c r="U473">
        <v>352</v>
      </c>
      <c r="V473">
        <v>84</v>
      </c>
      <c r="W473">
        <v>25</v>
      </c>
      <c r="AA473">
        <v>1</v>
      </c>
      <c r="AB473">
        <v>0.2</v>
      </c>
      <c r="AD473">
        <v>1</v>
      </c>
      <c r="AF473">
        <v>11.2</v>
      </c>
      <c r="AG473">
        <v>3.1</v>
      </c>
      <c r="AI473">
        <v>11.3</v>
      </c>
      <c r="AJ473">
        <v>3.4</v>
      </c>
    </row>
    <row r="474" spans="1:40" customFormat="1" ht="18" customHeight="1">
      <c r="A474">
        <v>468</v>
      </c>
      <c r="B474" t="s">
        <v>1353</v>
      </c>
      <c r="C474" t="s">
        <v>124</v>
      </c>
      <c r="D474" t="s">
        <v>124</v>
      </c>
      <c r="E474" t="s">
        <v>2567</v>
      </c>
      <c r="F474" t="s">
        <v>585</v>
      </c>
      <c r="G474">
        <v>2012</v>
      </c>
      <c r="H474" t="s">
        <v>2021</v>
      </c>
      <c r="O474">
        <v>138</v>
      </c>
      <c r="P474">
        <v>81</v>
      </c>
      <c r="Q474">
        <v>42</v>
      </c>
      <c r="R474" s="716">
        <v>546</v>
      </c>
      <c r="S474" s="716">
        <v>331</v>
      </c>
      <c r="U474">
        <v>94</v>
      </c>
      <c r="V474">
        <v>48</v>
      </c>
      <c r="W474">
        <v>81</v>
      </c>
      <c r="AA474">
        <v>1</v>
      </c>
      <c r="AB474">
        <v>-0.91</v>
      </c>
      <c r="AD474">
        <v>1</v>
      </c>
      <c r="AF474">
        <v>11.8</v>
      </c>
      <c r="AG474">
        <v>3.5</v>
      </c>
      <c r="AI474">
        <v>12.3</v>
      </c>
      <c r="AJ474">
        <v>3.2</v>
      </c>
    </row>
    <row r="475" spans="1:40" customFormat="1" ht="18" customHeight="1">
      <c r="A475">
        <v>469</v>
      </c>
      <c r="B475" t="s">
        <v>1353</v>
      </c>
      <c r="C475" t="s">
        <v>140</v>
      </c>
      <c r="D475" t="s">
        <v>140</v>
      </c>
      <c r="E475" t="s">
        <v>2451</v>
      </c>
      <c r="F475" t="s">
        <v>1398</v>
      </c>
      <c r="G475">
        <v>1995</v>
      </c>
      <c r="H475" t="s">
        <v>1362</v>
      </c>
      <c r="K475" t="s">
        <v>1360</v>
      </c>
      <c r="O475">
        <v>0.1</v>
      </c>
      <c r="P475">
        <v>1.1000000000000001</v>
      </c>
      <c r="Q475">
        <v>20</v>
      </c>
      <c r="R475" s="716">
        <v>583</v>
      </c>
      <c r="S475" s="716">
        <v>377</v>
      </c>
      <c r="U475">
        <v>0.1</v>
      </c>
      <c r="V475">
        <v>0.9</v>
      </c>
      <c r="W475">
        <v>20</v>
      </c>
      <c r="AA475">
        <v>1</v>
      </c>
      <c r="AB475">
        <v>0</v>
      </c>
      <c r="AD475">
        <v>1</v>
      </c>
      <c r="AF475">
        <v>10.11</v>
      </c>
      <c r="AG475">
        <v>1.3</v>
      </c>
      <c r="AI475">
        <v>11</v>
      </c>
      <c r="AJ475">
        <v>1.1000000000000001</v>
      </c>
    </row>
    <row r="476" spans="1:40" customFormat="1" ht="18" customHeight="1">
      <c r="A476">
        <v>470</v>
      </c>
      <c r="B476" t="s">
        <v>1353</v>
      </c>
      <c r="C476" t="s">
        <v>140</v>
      </c>
      <c r="D476" t="s">
        <v>140</v>
      </c>
      <c r="E476" t="s">
        <v>2451</v>
      </c>
      <c r="F476" t="s">
        <v>1398</v>
      </c>
      <c r="G476">
        <v>1995</v>
      </c>
      <c r="H476" t="s">
        <v>1363</v>
      </c>
      <c r="K476" t="s">
        <v>1360</v>
      </c>
      <c r="O476">
        <v>-0.1</v>
      </c>
      <c r="P476">
        <v>0.8</v>
      </c>
      <c r="Q476">
        <v>20</v>
      </c>
      <c r="R476" s="716">
        <v>583</v>
      </c>
      <c r="S476" s="716">
        <v>377</v>
      </c>
      <c r="U476">
        <v>0.1</v>
      </c>
      <c r="V476">
        <v>1.2</v>
      </c>
      <c r="W476">
        <v>20</v>
      </c>
      <c r="AA476">
        <v>1</v>
      </c>
      <c r="AB476">
        <v>0.16</v>
      </c>
      <c r="AD476">
        <v>1</v>
      </c>
      <c r="AF476">
        <v>10.11</v>
      </c>
      <c r="AG476">
        <v>1.3</v>
      </c>
      <c r="AI476">
        <v>11</v>
      </c>
      <c r="AJ476">
        <v>1.1000000000000001</v>
      </c>
    </row>
    <row r="477" spans="1:40" customFormat="1" ht="18" customHeight="1">
      <c r="A477">
        <v>471</v>
      </c>
      <c r="B477" t="s">
        <v>1353</v>
      </c>
      <c r="C477" t="s">
        <v>140</v>
      </c>
      <c r="D477" t="s">
        <v>140</v>
      </c>
      <c r="E477" t="s">
        <v>2451</v>
      </c>
      <c r="F477" t="s">
        <v>1398</v>
      </c>
      <c r="G477">
        <v>1995</v>
      </c>
      <c r="H477" t="s">
        <v>1361</v>
      </c>
      <c r="K477" t="s">
        <v>1360</v>
      </c>
      <c r="O477">
        <v>0.1</v>
      </c>
      <c r="P477">
        <v>1.1000000000000001</v>
      </c>
      <c r="Q477">
        <v>20</v>
      </c>
      <c r="R477" s="716">
        <v>583</v>
      </c>
      <c r="S477" s="716">
        <v>377</v>
      </c>
      <c r="U477">
        <v>0.1</v>
      </c>
      <c r="V477">
        <v>0.9</v>
      </c>
      <c r="W477">
        <v>20</v>
      </c>
      <c r="AA477">
        <v>1</v>
      </c>
      <c r="AB477">
        <v>0</v>
      </c>
      <c r="AD477">
        <v>1</v>
      </c>
      <c r="AF477">
        <v>10.11</v>
      </c>
      <c r="AG477">
        <v>1.3</v>
      </c>
      <c r="AI477">
        <v>11</v>
      </c>
      <c r="AJ477">
        <v>1.1000000000000001</v>
      </c>
    </row>
    <row r="478" spans="1:40" customFormat="1" ht="18" customHeight="1">
      <c r="A478">
        <v>472</v>
      </c>
      <c r="B478" t="s">
        <v>1353</v>
      </c>
      <c r="C478" t="s">
        <v>140</v>
      </c>
      <c r="D478" t="s">
        <v>140</v>
      </c>
      <c r="E478" t="s">
        <v>2451</v>
      </c>
      <c r="F478" t="s">
        <v>1398</v>
      </c>
      <c r="G478">
        <v>1995</v>
      </c>
      <c r="H478" t="s">
        <v>1162</v>
      </c>
      <c r="K478" t="s">
        <v>1360</v>
      </c>
      <c r="L478" t="s">
        <v>1283</v>
      </c>
      <c r="O478">
        <v>-0.1</v>
      </c>
      <c r="P478">
        <v>1</v>
      </c>
      <c r="Q478">
        <v>20</v>
      </c>
      <c r="R478" s="716">
        <v>583</v>
      </c>
      <c r="S478" s="716">
        <v>377</v>
      </c>
      <c r="U478">
        <v>0.1</v>
      </c>
      <c r="V478">
        <v>1</v>
      </c>
      <c r="W478">
        <v>20</v>
      </c>
      <c r="AA478">
        <v>-1</v>
      </c>
      <c r="AB478">
        <v>-0.2</v>
      </c>
      <c r="AD478">
        <v>1</v>
      </c>
      <c r="AF478">
        <v>13.9</v>
      </c>
      <c r="AG478">
        <v>1.3</v>
      </c>
      <c r="AI478">
        <v>14</v>
      </c>
      <c r="AJ478">
        <v>1.1000000000000001</v>
      </c>
    </row>
    <row r="479" spans="1:40" customFormat="1" ht="18" customHeight="1">
      <c r="A479">
        <v>473</v>
      </c>
      <c r="B479" t="s">
        <v>908</v>
      </c>
      <c r="C479" t="s">
        <v>140</v>
      </c>
      <c r="D479" t="s">
        <v>140</v>
      </c>
      <c r="E479" t="s">
        <v>2451</v>
      </c>
      <c r="F479" t="s">
        <v>144</v>
      </c>
      <c r="G479">
        <v>1998</v>
      </c>
      <c r="H479" t="s">
        <v>2535</v>
      </c>
      <c r="K479" t="s">
        <v>151</v>
      </c>
      <c r="O479">
        <v>37.9</v>
      </c>
      <c r="P479">
        <v>15.2</v>
      </c>
      <c r="Q479">
        <v>57</v>
      </c>
      <c r="R479" s="716">
        <v>1085</v>
      </c>
      <c r="S479" s="716"/>
      <c r="U479">
        <v>26.5</v>
      </c>
      <c r="V479">
        <v>8.6</v>
      </c>
      <c r="W479">
        <v>40</v>
      </c>
      <c r="Y479">
        <v>-0.92</v>
      </c>
      <c r="AA479">
        <v>1</v>
      </c>
      <c r="AB479">
        <v>-1.32</v>
      </c>
      <c r="AD479">
        <v>1</v>
      </c>
      <c r="AK479">
        <v>4</v>
      </c>
      <c r="AL479" t="s">
        <v>57</v>
      </c>
      <c r="AM479" t="s">
        <v>24</v>
      </c>
      <c r="AN479" t="s">
        <v>57</v>
      </c>
    </row>
    <row r="480" spans="1:40" customFormat="1" ht="18" customHeight="1">
      <c r="A480">
        <v>474</v>
      </c>
      <c r="B480" t="s">
        <v>908</v>
      </c>
      <c r="C480" t="s">
        <v>140</v>
      </c>
      <c r="D480" t="s">
        <v>140</v>
      </c>
      <c r="E480" t="s">
        <v>2451</v>
      </c>
      <c r="F480" t="s">
        <v>144</v>
      </c>
      <c r="G480">
        <v>1998</v>
      </c>
      <c r="H480" t="s">
        <v>2536</v>
      </c>
      <c r="K480" t="s">
        <v>152</v>
      </c>
      <c r="O480">
        <v>16.600000000000001</v>
      </c>
      <c r="P480">
        <v>11.8</v>
      </c>
      <c r="Q480">
        <v>57</v>
      </c>
      <c r="R480" s="716">
        <v>1085</v>
      </c>
      <c r="S480" s="716"/>
      <c r="U480">
        <v>8.5</v>
      </c>
      <c r="V480">
        <v>6.4</v>
      </c>
      <c r="W480">
        <v>40</v>
      </c>
      <c r="Y480">
        <v>-0.85</v>
      </c>
      <c r="AA480">
        <v>1</v>
      </c>
      <c r="AB480">
        <v>-1.26</v>
      </c>
      <c r="AD480">
        <v>1</v>
      </c>
      <c r="AK480">
        <v>4</v>
      </c>
      <c r="AL480" t="s">
        <v>57</v>
      </c>
      <c r="AM480" t="s">
        <v>24</v>
      </c>
      <c r="AN480" t="s">
        <v>57</v>
      </c>
    </row>
    <row r="481" spans="1:40" customFormat="1" ht="18" customHeight="1">
      <c r="A481">
        <v>475</v>
      </c>
      <c r="B481" t="s">
        <v>908</v>
      </c>
      <c r="C481" t="s">
        <v>140</v>
      </c>
      <c r="D481" t="s">
        <v>140</v>
      </c>
      <c r="E481" t="s">
        <v>2451</v>
      </c>
      <c r="F481" t="s">
        <v>144</v>
      </c>
      <c r="G481">
        <v>1998</v>
      </c>
      <c r="H481" t="s">
        <v>147</v>
      </c>
      <c r="K481" t="s">
        <v>148</v>
      </c>
      <c r="O481">
        <v>17.2</v>
      </c>
      <c r="P481">
        <v>6.7</v>
      </c>
      <c r="Q481">
        <v>57</v>
      </c>
      <c r="R481" s="716">
        <v>1085</v>
      </c>
      <c r="S481" s="716"/>
      <c r="U481">
        <v>13.1</v>
      </c>
      <c r="V481">
        <v>3.5</v>
      </c>
      <c r="W481">
        <v>40</v>
      </c>
      <c r="Y481">
        <v>-0.77</v>
      </c>
      <c r="AA481">
        <v>1</v>
      </c>
      <c r="AB481">
        <v>-1.1599999999999999</v>
      </c>
      <c r="AD481">
        <v>1</v>
      </c>
      <c r="AK481">
        <v>4</v>
      </c>
      <c r="AL481" t="s">
        <v>57</v>
      </c>
      <c r="AM481" t="s">
        <v>24</v>
      </c>
      <c r="AN481" t="s">
        <v>57</v>
      </c>
    </row>
    <row r="482" spans="1:40" customFormat="1" ht="18" customHeight="1">
      <c r="A482">
        <v>476</v>
      </c>
      <c r="B482" t="s">
        <v>908</v>
      </c>
      <c r="C482" t="s">
        <v>140</v>
      </c>
      <c r="D482" t="s">
        <v>140</v>
      </c>
      <c r="E482" t="s">
        <v>2451</v>
      </c>
      <c r="F482" t="s">
        <v>144</v>
      </c>
      <c r="G482">
        <v>1998</v>
      </c>
      <c r="H482" t="s">
        <v>149</v>
      </c>
      <c r="K482" t="s">
        <v>150</v>
      </c>
      <c r="O482">
        <v>6.5</v>
      </c>
      <c r="P482">
        <v>3</v>
      </c>
      <c r="Q482">
        <v>57</v>
      </c>
      <c r="R482" s="716">
        <v>1085</v>
      </c>
      <c r="S482" s="716"/>
      <c r="U482">
        <v>4.9000000000000004</v>
      </c>
      <c r="V482">
        <v>3.6</v>
      </c>
      <c r="W482">
        <v>40</v>
      </c>
      <c r="Y482">
        <v>-0.48</v>
      </c>
      <c r="AA482">
        <v>1</v>
      </c>
      <c r="AB482">
        <v>-0.44</v>
      </c>
      <c r="AD482">
        <v>1</v>
      </c>
      <c r="AK482">
        <v>4</v>
      </c>
      <c r="AL482" t="s">
        <v>57</v>
      </c>
      <c r="AM482" t="s">
        <v>24</v>
      </c>
      <c r="AN482" t="s">
        <v>57</v>
      </c>
    </row>
    <row r="483" spans="1:40" customFormat="1" ht="18" customHeight="1">
      <c r="A483">
        <v>477</v>
      </c>
      <c r="B483" t="s">
        <v>908</v>
      </c>
      <c r="C483" t="s">
        <v>140</v>
      </c>
      <c r="D483" t="s">
        <v>140</v>
      </c>
      <c r="E483" t="s">
        <v>2451</v>
      </c>
      <c r="F483" t="s">
        <v>2710</v>
      </c>
      <c r="G483">
        <v>2017</v>
      </c>
      <c r="H483" t="s">
        <v>2537</v>
      </c>
      <c r="K483" t="s">
        <v>143</v>
      </c>
      <c r="O483">
        <v>65.099999999999994</v>
      </c>
      <c r="P483">
        <v>11.7</v>
      </c>
      <c r="Q483">
        <v>37</v>
      </c>
      <c r="R483" s="716">
        <v>720</v>
      </c>
      <c r="S483" s="716"/>
      <c r="U483">
        <v>59.2</v>
      </c>
      <c r="V483">
        <v>5.0999999999999996</v>
      </c>
      <c r="W483">
        <v>30</v>
      </c>
      <c r="Y483">
        <v>-0.65</v>
      </c>
      <c r="AA483">
        <v>1</v>
      </c>
      <c r="AB483">
        <v>-1.1399999999999999</v>
      </c>
      <c r="AD483">
        <v>1</v>
      </c>
      <c r="AK483">
        <v>1</v>
      </c>
      <c r="AL483" t="s">
        <v>48</v>
      </c>
      <c r="AM483" t="s">
        <v>32</v>
      </c>
      <c r="AN483" t="s">
        <v>41</v>
      </c>
    </row>
    <row r="484" spans="1:40" customFormat="1" ht="18" customHeight="1">
      <c r="A484">
        <v>478</v>
      </c>
      <c r="B484" t="s">
        <v>908</v>
      </c>
      <c r="C484" t="s">
        <v>140</v>
      </c>
      <c r="D484" t="s">
        <v>140</v>
      </c>
      <c r="E484" t="s">
        <v>2451</v>
      </c>
      <c r="F484" t="s">
        <v>54</v>
      </c>
      <c r="G484">
        <v>2020</v>
      </c>
      <c r="H484" t="s">
        <v>2537</v>
      </c>
      <c r="K484" t="s">
        <v>143</v>
      </c>
      <c r="O484">
        <v>76.7</v>
      </c>
      <c r="P484">
        <v>11</v>
      </c>
      <c r="Q484">
        <v>19</v>
      </c>
      <c r="R484" s="716">
        <v>1042</v>
      </c>
      <c r="S484" s="716"/>
      <c r="U484">
        <v>70.599999999999994</v>
      </c>
      <c r="V484">
        <v>9</v>
      </c>
      <c r="W484">
        <v>19</v>
      </c>
      <c r="Y484">
        <v>-0.61</v>
      </c>
      <c r="AA484">
        <v>1</v>
      </c>
      <c r="AB484">
        <v>-0.66</v>
      </c>
      <c r="AD484">
        <v>1</v>
      </c>
    </row>
    <row r="485" spans="1:40" customFormat="1" ht="18" customHeight="1">
      <c r="A485">
        <v>479</v>
      </c>
      <c r="B485" t="s">
        <v>1353</v>
      </c>
      <c r="C485" t="s">
        <v>140</v>
      </c>
      <c r="D485" t="s">
        <v>140</v>
      </c>
      <c r="E485" t="s">
        <v>2451</v>
      </c>
      <c r="F485" t="s">
        <v>2124</v>
      </c>
      <c r="G485">
        <v>1995</v>
      </c>
      <c r="H485" t="s">
        <v>2538</v>
      </c>
      <c r="I485" t="s">
        <v>1419</v>
      </c>
      <c r="K485" t="s">
        <v>143</v>
      </c>
      <c r="L485" t="s">
        <v>2139</v>
      </c>
      <c r="O485">
        <v>88.5</v>
      </c>
      <c r="P485">
        <v>19.559999999999999</v>
      </c>
      <c r="Q485">
        <v>10</v>
      </c>
      <c r="R485" s="716">
        <v>348</v>
      </c>
      <c r="S485" s="716"/>
      <c r="U485">
        <v>72.7</v>
      </c>
      <c r="V485">
        <v>12.8</v>
      </c>
      <c r="W485">
        <v>10</v>
      </c>
      <c r="AA485">
        <v>1</v>
      </c>
      <c r="AB485">
        <v>-1.18</v>
      </c>
      <c r="AD485">
        <v>1</v>
      </c>
      <c r="AF485">
        <v>7.53</v>
      </c>
      <c r="AG485" t="s">
        <v>24</v>
      </c>
      <c r="AI485">
        <v>7.59</v>
      </c>
      <c r="AJ485" t="s">
        <v>24</v>
      </c>
      <c r="AL485" t="s">
        <v>2075</v>
      </c>
    </row>
    <row r="486" spans="1:40" customFormat="1" ht="18" customHeight="1">
      <c r="A486">
        <v>480</v>
      </c>
      <c r="B486" t="s">
        <v>1553</v>
      </c>
      <c r="C486" t="s">
        <v>140</v>
      </c>
      <c r="D486" t="s">
        <v>140</v>
      </c>
      <c r="E486" t="s">
        <v>2451</v>
      </c>
      <c r="F486" t="s">
        <v>2124</v>
      </c>
      <c r="G486">
        <v>1995</v>
      </c>
      <c r="H486" t="s">
        <v>2538</v>
      </c>
      <c r="I486" t="s">
        <v>1419</v>
      </c>
      <c r="K486" t="s">
        <v>143</v>
      </c>
      <c r="L486" t="s">
        <v>2139</v>
      </c>
      <c r="O486">
        <v>51.5</v>
      </c>
      <c r="P486">
        <v>5.42</v>
      </c>
      <c r="Q486">
        <v>10</v>
      </c>
      <c r="R486" s="716">
        <v>1014</v>
      </c>
      <c r="S486" s="716">
        <v>216</v>
      </c>
      <c r="U486">
        <v>46.9</v>
      </c>
      <c r="V486">
        <v>4.75</v>
      </c>
      <c r="W486">
        <v>10</v>
      </c>
      <c r="AA486">
        <v>-1</v>
      </c>
      <c r="AB486">
        <v>0.93</v>
      </c>
      <c r="AD486">
        <v>1</v>
      </c>
      <c r="AF486">
        <v>20.6</v>
      </c>
      <c r="AG486">
        <v>3.8</v>
      </c>
      <c r="AH486" t="s">
        <v>2147</v>
      </c>
    </row>
    <row r="487" spans="1:40" customFormat="1" ht="18" customHeight="1">
      <c r="A487">
        <v>481</v>
      </c>
      <c r="B487" t="s">
        <v>908</v>
      </c>
      <c r="C487" t="s">
        <v>140</v>
      </c>
      <c r="D487" t="s">
        <v>140</v>
      </c>
      <c r="E487" t="s">
        <v>2451</v>
      </c>
      <c r="F487" t="s">
        <v>144</v>
      </c>
      <c r="G487">
        <v>1998</v>
      </c>
      <c r="H487" t="s">
        <v>145</v>
      </c>
      <c r="K487" t="s">
        <v>146</v>
      </c>
      <c r="O487">
        <v>452</v>
      </c>
      <c r="P487">
        <v>72.239999999999995</v>
      </c>
      <c r="Q487">
        <v>57</v>
      </c>
      <c r="R487" s="716">
        <v>1085</v>
      </c>
      <c r="S487" s="716"/>
      <c r="U487">
        <v>430</v>
      </c>
      <c r="V487">
        <v>77.48</v>
      </c>
      <c r="W487">
        <v>40</v>
      </c>
      <c r="Y487">
        <v>-0.28999999999999998</v>
      </c>
      <c r="AA487">
        <v>1</v>
      </c>
      <c r="AB487">
        <v>-0.28000000000000003</v>
      </c>
      <c r="AD487">
        <v>1</v>
      </c>
      <c r="AK487">
        <v>4</v>
      </c>
      <c r="AL487" t="s">
        <v>57</v>
      </c>
      <c r="AM487" t="s">
        <v>24</v>
      </c>
      <c r="AN487" t="s">
        <v>57</v>
      </c>
    </row>
    <row r="488" spans="1:40" customFormat="1" ht="18" customHeight="1">
      <c r="A488">
        <v>482</v>
      </c>
      <c r="B488" t="s">
        <v>908</v>
      </c>
      <c r="C488" t="s">
        <v>140</v>
      </c>
      <c r="D488" t="s">
        <v>140</v>
      </c>
      <c r="E488" t="s">
        <v>2451</v>
      </c>
      <c r="F488" t="s">
        <v>144</v>
      </c>
      <c r="G488">
        <v>1998</v>
      </c>
      <c r="H488" t="s">
        <v>2539</v>
      </c>
      <c r="K488" t="s">
        <v>154</v>
      </c>
      <c r="O488">
        <v>14.4</v>
      </c>
      <c r="P488">
        <v>11.8</v>
      </c>
      <c r="Q488">
        <v>57</v>
      </c>
      <c r="R488" s="716">
        <v>1085</v>
      </c>
      <c r="S488" s="716"/>
      <c r="U488">
        <v>10.7</v>
      </c>
      <c r="V488">
        <v>8.6</v>
      </c>
      <c r="W488">
        <v>40</v>
      </c>
      <c r="Y488">
        <v>-0.36</v>
      </c>
      <c r="AA488">
        <v>1</v>
      </c>
      <c r="AB488">
        <v>-0.43</v>
      </c>
      <c r="AD488">
        <v>1</v>
      </c>
      <c r="AK488">
        <v>4</v>
      </c>
      <c r="AL488" t="s">
        <v>57</v>
      </c>
      <c r="AM488" t="s">
        <v>24</v>
      </c>
      <c r="AN488" t="s">
        <v>57</v>
      </c>
    </row>
    <row r="489" spans="1:40" customFormat="1" ht="18" customHeight="1">
      <c r="A489">
        <v>483</v>
      </c>
      <c r="B489" t="s">
        <v>908</v>
      </c>
      <c r="C489" t="s">
        <v>140</v>
      </c>
      <c r="D489" t="s">
        <v>140</v>
      </c>
      <c r="E489" t="s">
        <v>2451</v>
      </c>
      <c r="F489" t="s">
        <v>144</v>
      </c>
      <c r="G489">
        <v>1998</v>
      </c>
      <c r="H489" t="s">
        <v>2540</v>
      </c>
      <c r="K489" t="s">
        <v>2618</v>
      </c>
      <c r="O489">
        <v>19.600000000000001</v>
      </c>
      <c r="P489">
        <v>10.9</v>
      </c>
      <c r="Q489">
        <v>57</v>
      </c>
      <c r="R489" s="716">
        <v>1085</v>
      </c>
      <c r="S489" s="716"/>
      <c r="U489">
        <v>15.1</v>
      </c>
      <c r="V489">
        <v>9.4</v>
      </c>
      <c r="W489">
        <v>40</v>
      </c>
      <c r="Y489">
        <v>-0.44</v>
      </c>
      <c r="AA489">
        <v>1</v>
      </c>
      <c r="AB489">
        <v>-0.47</v>
      </c>
      <c r="AD489">
        <v>1</v>
      </c>
      <c r="AK489">
        <v>4</v>
      </c>
      <c r="AL489" t="s">
        <v>57</v>
      </c>
      <c r="AM489" t="s">
        <v>24</v>
      </c>
      <c r="AN489" t="s">
        <v>57</v>
      </c>
    </row>
    <row r="490" spans="1:40" customFormat="1" ht="18" customHeight="1">
      <c r="A490">
        <v>484</v>
      </c>
      <c r="B490" t="s">
        <v>908</v>
      </c>
      <c r="C490" t="s">
        <v>140</v>
      </c>
      <c r="D490" t="s">
        <v>140</v>
      </c>
      <c r="E490" t="s">
        <v>2451</v>
      </c>
      <c r="F490" t="s">
        <v>144</v>
      </c>
      <c r="G490">
        <v>1998</v>
      </c>
      <c r="H490" t="s">
        <v>2541</v>
      </c>
      <c r="K490" t="s">
        <v>155</v>
      </c>
      <c r="O490">
        <v>101</v>
      </c>
      <c r="P490">
        <v>52</v>
      </c>
      <c r="Q490">
        <v>57</v>
      </c>
      <c r="R490" s="716">
        <v>1085</v>
      </c>
      <c r="S490" s="716"/>
      <c r="U490">
        <v>89</v>
      </c>
      <c r="V490">
        <v>58</v>
      </c>
      <c r="W490">
        <v>40</v>
      </c>
      <c r="Y490">
        <v>-0.22</v>
      </c>
      <c r="AA490">
        <v>1</v>
      </c>
      <c r="AB490">
        <v>-0.21</v>
      </c>
      <c r="AD490">
        <v>1</v>
      </c>
      <c r="AK490">
        <v>4</v>
      </c>
      <c r="AL490" t="s">
        <v>57</v>
      </c>
      <c r="AM490" t="s">
        <v>24</v>
      </c>
      <c r="AN490" t="s">
        <v>57</v>
      </c>
    </row>
    <row r="491" spans="1:40" customFormat="1" ht="18" customHeight="1">
      <c r="A491">
        <v>485</v>
      </c>
      <c r="B491" t="s">
        <v>908</v>
      </c>
      <c r="C491" t="s">
        <v>140</v>
      </c>
      <c r="D491" t="s">
        <v>140</v>
      </c>
      <c r="E491" t="s">
        <v>2451</v>
      </c>
      <c r="F491" t="s">
        <v>144</v>
      </c>
      <c r="G491">
        <v>1998</v>
      </c>
      <c r="H491" t="s">
        <v>2542</v>
      </c>
      <c r="K491" t="s">
        <v>2619</v>
      </c>
      <c r="O491">
        <v>35</v>
      </c>
      <c r="P491">
        <v>12</v>
      </c>
      <c r="Q491">
        <v>57</v>
      </c>
      <c r="R491" s="716">
        <v>1085</v>
      </c>
      <c r="S491" s="716"/>
      <c r="U491">
        <v>33</v>
      </c>
      <c r="V491">
        <v>12</v>
      </c>
      <c r="W491">
        <v>40</v>
      </c>
      <c r="Y491">
        <v>-0.17</v>
      </c>
      <c r="AA491">
        <v>1</v>
      </c>
      <c r="AB491">
        <v>-0.17</v>
      </c>
      <c r="AD491">
        <v>1</v>
      </c>
      <c r="AK491">
        <v>4</v>
      </c>
      <c r="AL491" t="s">
        <v>57</v>
      </c>
      <c r="AM491" t="s">
        <v>24</v>
      </c>
      <c r="AN491" t="s">
        <v>57</v>
      </c>
    </row>
    <row r="492" spans="1:40" customFormat="1" ht="18" customHeight="1">
      <c r="A492">
        <v>486</v>
      </c>
      <c r="B492" t="s">
        <v>908</v>
      </c>
      <c r="C492" t="s">
        <v>140</v>
      </c>
      <c r="D492" t="s">
        <v>140</v>
      </c>
      <c r="E492" t="s">
        <v>2451</v>
      </c>
      <c r="F492" t="s">
        <v>144</v>
      </c>
      <c r="G492">
        <v>1998</v>
      </c>
      <c r="H492" t="s">
        <v>2543</v>
      </c>
      <c r="K492" t="s">
        <v>153</v>
      </c>
      <c r="O492">
        <v>3</v>
      </c>
      <c r="P492">
        <v>4.9000000000000004</v>
      </c>
      <c r="Q492">
        <v>57</v>
      </c>
      <c r="R492" s="716">
        <v>1085</v>
      </c>
      <c r="S492" s="716"/>
      <c r="U492">
        <v>1.7</v>
      </c>
      <c r="V492">
        <v>3.5</v>
      </c>
      <c r="W492">
        <v>40</v>
      </c>
      <c r="Y492">
        <v>-0.31</v>
      </c>
      <c r="AA492">
        <v>1</v>
      </c>
      <c r="AB492">
        <v>-0.37</v>
      </c>
      <c r="AD492">
        <v>1</v>
      </c>
      <c r="AK492">
        <v>4</v>
      </c>
      <c r="AL492" t="s">
        <v>57</v>
      </c>
      <c r="AM492" t="s">
        <v>24</v>
      </c>
      <c r="AN492" t="s">
        <v>57</v>
      </c>
    </row>
    <row r="493" spans="1:40" customFormat="1" ht="18" customHeight="1">
      <c r="A493">
        <v>487</v>
      </c>
      <c r="B493" t="s">
        <v>908</v>
      </c>
      <c r="C493" t="s">
        <v>140</v>
      </c>
      <c r="D493" t="s">
        <v>140</v>
      </c>
      <c r="E493" t="s">
        <v>2451</v>
      </c>
      <c r="F493" t="s">
        <v>144</v>
      </c>
      <c r="G493">
        <v>1998</v>
      </c>
      <c r="H493" t="s">
        <v>2544</v>
      </c>
      <c r="K493" t="s">
        <v>2620</v>
      </c>
      <c r="O493">
        <v>4.7</v>
      </c>
      <c r="P493">
        <v>6</v>
      </c>
      <c r="Q493">
        <v>57</v>
      </c>
      <c r="R493" s="716">
        <v>1085</v>
      </c>
      <c r="S493" s="716"/>
      <c r="U493">
        <v>3.1</v>
      </c>
      <c r="V493">
        <v>4.7</v>
      </c>
      <c r="W493">
        <v>40</v>
      </c>
      <c r="Y493">
        <v>-0.3</v>
      </c>
      <c r="AA493">
        <v>1</v>
      </c>
      <c r="AB493">
        <v>-0.34</v>
      </c>
      <c r="AD493">
        <v>1</v>
      </c>
      <c r="AK493">
        <v>4</v>
      </c>
      <c r="AL493" t="s">
        <v>57</v>
      </c>
      <c r="AM493" t="s">
        <v>24</v>
      </c>
      <c r="AN493" t="s">
        <v>57</v>
      </c>
    </row>
    <row r="494" spans="1:40" customFormat="1" ht="18" customHeight="1">
      <c r="A494">
        <v>488</v>
      </c>
      <c r="B494" t="s">
        <v>1353</v>
      </c>
      <c r="C494" t="s">
        <v>140</v>
      </c>
      <c r="D494" t="s">
        <v>140</v>
      </c>
      <c r="E494" t="s">
        <v>2451</v>
      </c>
      <c r="F494" t="s">
        <v>1490</v>
      </c>
      <c r="G494">
        <v>2014</v>
      </c>
      <c r="H494" t="s">
        <v>1415</v>
      </c>
      <c r="K494" t="s">
        <v>1503</v>
      </c>
      <c r="O494">
        <v>6.7</v>
      </c>
      <c r="P494">
        <v>4.4000000000000004</v>
      </c>
      <c r="Q494">
        <v>21</v>
      </c>
      <c r="R494" s="716">
        <v>590</v>
      </c>
      <c r="S494" s="716">
        <v>248</v>
      </c>
      <c r="U494">
        <v>4.5</v>
      </c>
      <c r="V494">
        <v>1.3</v>
      </c>
      <c r="W494">
        <v>73</v>
      </c>
      <c r="AA494">
        <v>1</v>
      </c>
      <c r="AB494">
        <v>-1.68</v>
      </c>
      <c r="AD494">
        <v>1</v>
      </c>
      <c r="AF494">
        <v>10.6</v>
      </c>
      <c r="AG494">
        <v>2.5</v>
      </c>
      <c r="AI494">
        <v>10.9</v>
      </c>
      <c r="AJ494">
        <v>2.2000000000000002</v>
      </c>
    </row>
    <row r="495" spans="1:40" customFormat="1" ht="18" customHeight="1">
      <c r="A495">
        <v>489</v>
      </c>
      <c r="B495" t="s">
        <v>1353</v>
      </c>
      <c r="C495" t="s">
        <v>140</v>
      </c>
      <c r="D495" t="s">
        <v>140</v>
      </c>
      <c r="E495" t="s">
        <v>2451</v>
      </c>
      <c r="F495" t="s">
        <v>1490</v>
      </c>
      <c r="G495">
        <v>2014</v>
      </c>
      <c r="H495" t="s">
        <v>1416</v>
      </c>
      <c r="K495" t="s">
        <v>1504</v>
      </c>
      <c r="O495">
        <v>5.3</v>
      </c>
      <c r="P495">
        <v>4.3</v>
      </c>
      <c r="Q495">
        <v>21</v>
      </c>
      <c r="R495" s="716">
        <v>590</v>
      </c>
      <c r="S495" s="716">
        <v>248</v>
      </c>
      <c r="U495">
        <v>3.1</v>
      </c>
      <c r="V495">
        <v>0.9</v>
      </c>
      <c r="W495">
        <v>73</v>
      </c>
      <c r="AA495">
        <v>1</v>
      </c>
      <c r="AB495">
        <v>-2.42</v>
      </c>
      <c r="AD495">
        <v>1</v>
      </c>
      <c r="AF495">
        <v>10.6</v>
      </c>
      <c r="AG495">
        <v>2.5</v>
      </c>
      <c r="AI495">
        <v>10.9</v>
      </c>
      <c r="AJ495">
        <v>2.2000000000000002</v>
      </c>
    </row>
    <row r="496" spans="1:40" customFormat="1" ht="18" customHeight="1">
      <c r="A496">
        <v>490</v>
      </c>
      <c r="B496" t="s">
        <v>1553</v>
      </c>
      <c r="C496" t="s">
        <v>140</v>
      </c>
      <c r="D496" t="s">
        <v>140</v>
      </c>
      <c r="E496" t="s">
        <v>2451</v>
      </c>
      <c r="F496" t="s">
        <v>1502</v>
      </c>
      <c r="G496">
        <v>2001</v>
      </c>
      <c r="H496" t="s">
        <v>1120</v>
      </c>
      <c r="I496" t="s">
        <v>961</v>
      </c>
      <c r="J496" t="s">
        <v>961</v>
      </c>
      <c r="K496" t="s">
        <v>1215</v>
      </c>
      <c r="L496" t="s">
        <v>1118</v>
      </c>
      <c r="M496" s="510" t="s">
        <v>1121</v>
      </c>
      <c r="O496">
        <v>15.9</v>
      </c>
      <c r="P496">
        <v>8.5</v>
      </c>
      <c r="Q496">
        <v>18</v>
      </c>
      <c r="R496" s="716" t="s">
        <v>1149</v>
      </c>
      <c r="S496" s="716" t="s">
        <v>1149</v>
      </c>
      <c r="U496">
        <v>14.1</v>
      </c>
      <c r="V496">
        <v>3.9</v>
      </c>
      <c r="W496">
        <v>16</v>
      </c>
      <c r="AA496">
        <v>1</v>
      </c>
      <c r="AB496">
        <v>-0.45</v>
      </c>
      <c r="AD496">
        <v>1</v>
      </c>
      <c r="AF496">
        <v>17.88</v>
      </c>
      <c r="AG496">
        <v>2.74</v>
      </c>
      <c r="AI496">
        <v>16.32</v>
      </c>
      <c r="AJ496">
        <v>2.92</v>
      </c>
    </row>
    <row r="497" spans="1:40" customFormat="1" ht="18" customHeight="1">
      <c r="A497">
        <v>491</v>
      </c>
      <c r="B497" t="s">
        <v>1553</v>
      </c>
      <c r="C497" t="s">
        <v>140</v>
      </c>
      <c r="D497" t="s">
        <v>140</v>
      </c>
      <c r="E497" t="s">
        <v>2451</v>
      </c>
      <c r="F497" t="s">
        <v>1502</v>
      </c>
      <c r="G497">
        <v>2001</v>
      </c>
      <c r="H497" t="s">
        <v>1120</v>
      </c>
      <c r="I497" t="s">
        <v>1419</v>
      </c>
      <c r="J497" t="s">
        <v>1419</v>
      </c>
      <c r="K497" t="s">
        <v>2456</v>
      </c>
      <c r="L497" t="s">
        <v>1119</v>
      </c>
      <c r="O497">
        <v>812.3</v>
      </c>
      <c r="P497">
        <v>184.1</v>
      </c>
      <c r="Q497">
        <v>18</v>
      </c>
      <c r="R497" s="716" t="s">
        <v>1149</v>
      </c>
      <c r="S497" s="716" t="s">
        <v>1149</v>
      </c>
      <c r="U497">
        <v>796.1</v>
      </c>
      <c r="V497">
        <v>222.1</v>
      </c>
      <c r="W497">
        <v>16</v>
      </c>
      <c r="AA497">
        <v>1</v>
      </c>
      <c r="AB497">
        <v>-7.0000000000000007E-2</v>
      </c>
      <c r="AD497">
        <v>1</v>
      </c>
      <c r="AF497">
        <v>17.88</v>
      </c>
      <c r="AG497">
        <v>2.74</v>
      </c>
      <c r="AI497">
        <v>16.32</v>
      </c>
      <c r="AJ497">
        <v>2.92</v>
      </c>
    </row>
    <row r="498" spans="1:40" customFormat="1" ht="18" customHeight="1">
      <c r="A498">
        <v>492</v>
      </c>
      <c r="B498" t="s">
        <v>908</v>
      </c>
      <c r="C498" t="s">
        <v>140</v>
      </c>
      <c r="D498" t="s">
        <v>140</v>
      </c>
      <c r="E498" t="s">
        <v>2451</v>
      </c>
      <c r="F498" t="s">
        <v>141</v>
      </c>
      <c r="G498">
        <v>2018</v>
      </c>
      <c r="H498" t="s">
        <v>142</v>
      </c>
      <c r="K498" t="s">
        <v>2580</v>
      </c>
      <c r="O498">
        <v>10.1</v>
      </c>
      <c r="P498">
        <v>2.14</v>
      </c>
      <c r="Q498">
        <v>46</v>
      </c>
      <c r="R498" s="716">
        <v>595</v>
      </c>
      <c r="S498" s="716"/>
      <c r="U498">
        <v>8.5</v>
      </c>
      <c r="V498">
        <v>1.91</v>
      </c>
      <c r="W498">
        <v>31</v>
      </c>
      <c r="Y498">
        <v>-0.77</v>
      </c>
      <c r="AA498">
        <v>1</v>
      </c>
      <c r="AB498">
        <v>-0.81</v>
      </c>
      <c r="AD498">
        <v>1</v>
      </c>
      <c r="AK498">
        <v>1</v>
      </c>
      <c r="AL498" t="s">
        <v>48</v>
      </c>
      <c r="AM498" t="s">
        <v>32</v>
      </c>
      <c r="AN498" t="s">
        <v>41</v>
      </c>
    </row>
    <row r="499" spans="1:40" customFormat="1" ht="18" customHeight="1">
      <c r="A499">
        <v>493</v>
      </c>
      <c r="B499" t="s">
        <v>908</v>
      </c>
      <c r="C499" t="s">
        <v>140</v>
      </c>
      <c r="D499" t="s">
        <v>140</v>
      </c>
      <c r="E499" t="s">
        <v>2451</v>
      </c>
      <c r="F499" t="s">
        <v>1847</v>
      </c>
      <c r="G499">
        <v>2023</v>
      </c>
      <c r="H499" t="s">
        <v>2545</v>
      </c>
      <c r="K499" t="s">
        <v>1690</v>
      </c>
      <c r="L499" t="s">
        <v>1618</v>
      </c>
      <c r="M499" t="s">
        <v>1721</v>
      </c>
      <c r="O499">
        <v>50</v>
      </c>
      <c r="P499">
        <v>9.1999999999999993</v>
      </c>
      <c r="Q499">
        <v>40</v>
      </c>
      <c r="R499" s="716">
        <v>589</v>
      </c>
      <c r="S499" s="716">
        <v>444</v>
      </c>
      <c r="U499">
        <v>51</v>
      </c>
      <c r="V499">
        <v>9.6</v>
      </c>
      <c r="W499">
        <v>32</v>
      </c>
      <c r="X499" t="s">
        <v>1149</v>
      </c>
      <c r="AA499">
        <v>-1</v>
      </c>
      <c r="AB499">
        <v>-0.1</v>
      </c>
      <c r="AD499">
        <v>1</v>
      </c>
      <c r="AF499" t="s">
        <v>1149</v>
      </c>
    </row>
    <row r="500" spans="1:40" customFormat="1" ht="18" customHeight="1">
      <c r="A500">
        <v>494</v>
      </c>
      <c r="B500" t="s">
        <v>908</v>
      </c>
      <c r="C500" t="s">
        <v>140</v>
      </c>
      <c r="D500" t="s">
        <v>140</v>
      </c>
      <c r="E500" t="s">
        <v>2451</v>
      </c>
      <c r="F500" t="s">
        <v>1847</v>
      </c>
      <c r="G500">
        <v>2023</v>
      </c>
      <c r="H500" t="s">
        <v>2546</v>
      </c>
      <c r="K500" t="s">
        <v>1690</v>
      </c>
      <c r="L500" t="s">
        <v>1618</v>
      </c>
      <c r="M500" t="s">
        <v>1721</v>
      </c>
      <c r="O500">
        <v>47</v>
      </c>
      <c r="P500">
        <v>10.8</v>
      </c>
      <c r="Q500">
        <v>40</v>
      </c>
      <c r="R500" s="716">
        <v>589</v>
      </c>
      <c r="S500" s="716">
        <v>444</v>
      </c>
      <c r="U500">
        <v>54</v>
      </c>
      <c r="V500">
        <v>10.3</v>
      </c>
      <c r="W500">
        <v>32</v>
      </c>
      <c r="X500" t="s">
        <v>1149</v>
      </c>
      <c r="AA500">
        <v>-1</v>
      </c>
      <c r="AB500">
        <v>-0.67</v>
      </c>
      <c r="AD500">
        <v>1</v>
      </c>
      <c r="AF500" t="s">
        <v>1149</v>
      </c>
    </row>
    <row r="501" spans="1:40" customFormat="1" ht="18" customHeight="1">
      <c r="A501">
        <v>495</v>
      </c>
      <c r="B501" t="s">
        <v>1353</v>
      </c>
      <c r="C501" t="s">
        <v>140</v>
      </c>
      <c r="D501" t="s">
        <v>140</v>
      </c>
      <c r="E501" t="s">
        <v>2451</v>
      </c>
      <c r="F501" t="s">
        <v>1393</v>
      </c>
      <c r="G501">
        <v>2005</v>
      </c>
      <c r="H501" t="s">
        <v>1315</v>
      </c>
      <c r="M501" t="s">
        <v>1316</v>
      </c>
      <c r="O501">
        <v>42</v>
      </c>
      <c r="P501">
        <v>9</v>
      </c>
      <c r="Q501">
        <v>26</v>
      </c>
      <c r="R501" s="716">
        <v>489</v>
      </c>
      <c r="S501" s="716">
        <v>181</v>
      </c>
      <c r="U501">
        <v>49</v>
      </c>
      <c r="V501">
        <v>8</v>
      </c>
      <c r="W501">
        <v>21</v>
      </c>
      <c r="AA501">
        <v>-1</v>
      </c>
      <c r="AB501">
        <v>-0.86</v>
      </c>
      <c r="AD501">
        <v>1</v>
      </c>
      <c r="AF501">
        <v>12.3</v>
      </c>
      <c r="AG501">
        <v>3.7</v>
      </c>
      <c r="AI501">
        <v>11.8</v>
      </c>
      <c r="AJ501">
        <v>3.6</v>
      </c>
    </row>
    <row r="502" spans="1:40" customFormat="1" ht="18" customHeight="1">
      <c r="A502">
        <v>496</v>
      </c>
      <c r="B502" t="s">
        <v>1353</v>
      </c>
      <c r="C502" t="s">
        <v>140</v>
      </c>
      <c r="D502" t="s">
        <v>140</v>
      </c>
      <c r="E502" t="s">
        <v>2451</v>
      </c>
      <c r="F502" t="s">
        <v>1393</v>
      </c>
      <c r="G502">
        <v>2005</v>
      </c>
      <c r="H502" t="s">
        <v>1317</v>
      </c>
      <c r="M502" t="s">
        <v>1316</v>
      </c>
      <c r="O502">
        <v>48</v>
      </c>
      <c r="P502">
        <v>11</v>
      </c>
      <c r="Q502">
        <v>26</v>
      </c>
      <c r="R502" s="716">
        <v>489</v>
      </c>
      <c r="S502" s="716">
        <v>181</v>
      </c>
      <c r="U502">
        <v>51</v>
      </c>
      <c r="V502">
        <v>10</v>
      </c>
      <c r="W502">
        <v>21</v>
      </c>
      <c r="AA502">
        <v>-1</v>
      </c>
      <c r="AB502">
        <v>-0.28999999999999998</v>
      </c>
      <c r="AD502">
        <v>1</v>
      </c>
      <c r="AF502">
        <v>12.3</v>
      </c>
      <c r="AG502">
        <v>3.7</v>
      </c>
      <c r="AI502">
        <v>11.8</v>
      </c>
      <c r="AJ502">
        <v>3.6</v>
      </c>
    </row>
    <row r="503" spans="1:40" customFormat="1" ht="18" customHeight="1">
      <c r="A503">
        <v>497</v>
      </c>
      <c r="B503" t="s">
        <v>1353</v>
      </c>
      <c r="C503" t="s">
        <v>140</v>
      </c>
      <c r="D503" t="s">
        <v>140</v>
      </c>
      <c r="E503" t="s">
        <v>2451</v>
      </c>
      <c r="F503" t="s">
        <v>1393</v>
      </c>
      <c r="G503">
        <v>2005</v>
      </c>
      <c r="H503" t="s">
        <v>1318</v>
      </c>
      <c r="M503" t="s">
        <v>1316</v>
      </c>
      <c r="O503">
        <v>50</v>
      </c>
      <c r="P503">
        <v>11</v>
      </c>
      <c r="Q503">
        <v>26</v>
      </c>
      <c r="R503" s="716">
        <v>489</v>
      </c>
      <c r="S503" s="716">
        <v>181</v>
      </c>
      <c r="U503">
        <v>52</v>
      </c>
      <c r="V503">
        <v>10</v>
      </c>
      <c r="W503">
        <v>21</v>
      </c>
      <c r="AA503">
        <v>-1</v>
      </c>
      <c r="AB503">
        <v>-0.2</v>
      </c>
      <c r="AD503">
        <v>1</v>
      </c>
      <c r="AF503">
        <v>12.3</v>
      </c>
      <c r="AG503">
        <v>3.7</v>
      </c>
      <c r="AI503">
        <v>11.8</v>
      </c>
      <c r="AJ503">
        <v>3.6</v>
      </c>
    </row>
    <row r="504" spans="1:40" customFormat="1" ht="18" customHeight="1">
      <c r="A504">
        <v>498</v>
      </c>
      <c r="B504" t="s">
        <v>908</v>
      </c>
      <c r="C504" t="s">
        <v>140</v>
      </c>
      <c r="D504" t="s">
        <v>140</v>
      </c>
      <c r="E504" t="s">
        <v>2451</v>
      </c>
      <c r="F504" t="s">
        <v>76</v>
      </c>
      <c r="G504">
        <v>2013</v>
      </c>
      <c r="H504" t="s">
        <v>2244</v>
      </c>
      <c r="K504" t="s">
        <v>156</v>
      </c>
      <c r="O504">
        <v>93.2</v>
      </c>
      <c r="P504">
        <v>63.6</v>
      </c>
      <c r="Q504">
        <v>57</v>
      </c>
      <c r="R504" s="716">
        <v>810</v>
      </c>
      <c r="S504" s="716"/>
      <c r="U504">
        <v>77</v>
      </c>
      <c r="V504">
        <v>19.7</v>
      </c>
      <c r="W504">
        <v>46</v>
      </c>
      <c r="Y504">
        <v>-0.34</v>
      </c>
      <c r="AA504">
        <v>1</v>
      </c>
      <c r="AB504">
        <v>-0.82</v>
      </c>
      <c r="AD504">
        <v>1</v>
      </c>
      <c r="AK504">
        <v>3</v>
      </c>
      <c r="AL504" t="s">
        <v>78</v>
      </c>
      <c r="AM504" t="s">
        <v>32</v>
      </c>
      <c r="AN504" t="s">
        <v>78</v>
      </c>
    </row>
    <row r="505" spans="1:40" customFormat="1" ht="18" customHeight="1">
      <c r="A505">
        <v>499</v>
      </c>
      <c r="B505" t="s">
        <v>908</v>
      </c>
      <c r="C505" t="s">
        <v>140</v>
      </c>
      <c r="D505" t="s">
        <v>140</v>
      </c>
      <c r="E505" t="s">
        <v>2451</v>
      </c>
      <c r="F505" t="s">
        <v>51</v>
      </c>
      <c r="G505">
        <v>2021</v>
      </c>
      <c r="H505" t="s">
        <v>2244</v>
      </c>
      <c r="O505">
        <v>29</v>
      </c>
      <c r="P505">
        <v>13.62</v>
      </c>
      <c r="Q505">
        <v>19</v>
      </c>
      <c r="R505" s="716">
        <v>890</v>
      </c>
      <c r="S505" s="716"/>
      <c r="U505">
        <v>20</v>
      </c>
      <c r="V505">
        <v>5.5</v>
      </c>
      <c r="W505">
        <v>25</v>
      </c>
      <c r="Y505">
        <v>-0.87</v>
      </c>
      <c r="AA505">
        <v>1</v>
      </c>
      <c r="AB505">
        <v>-1.61</v>
      </c>
      <c r="AD505">
        <v>1</v>
      </c>
      <c r="AK505">
        <v>1</v>
      </c>
      <c r="AM505" t="s">
        <v>32</v>
      </c>
    </row>
    <row r="506" spans="1:40" customFormat="1" ht="18" customHeight="1">
      <c r="A506">
        <v>500</v>
      </c>
      <c r="B506" t="s">
        <v>1353</v>
      </c>
      <c r="C506" t="s">
        <v>140</v>
      </c>
      <c r="D506" t="s">
        <v>140</v>
      </c>
      <c r="E506" t="s">
        <v>2451</v>
      </c>
      <c r="F506" t="s">
        <v>1392</v>
      </c>
      <c r="G506">
        <v>2018</v>
      </c>
      <c r="H506" t="s">
        <v>2244</v>
      </c>
      <c r="O506">
        <v>43.4</v>
      </c>
      <c r="P506">
        <v>14.3</v>
      </c>
      <c r="Q506">
        <v>11</v>
      </c>
      <c r="R506" s="716">
        <v>743</v>
      </c>
      <c r="S506" s="716">
        <v>84</v>
      </c>
      <c r="U506">
        <v>49.9</v>
      </c>
      <c r="V506">
        <v>14.4</v>
      </c>
      <c r="W506">
        <v>28</v>
      </c>
      <c r="AA506">
        <v>-1</v>
      </c>
      <c r="AB506">
        <v>-0.44</v>
      </c>
      <c r="AD506">
        <v>1</v>
      </c>
      <c r="AF506">
        <v>13</v>
      </c>
      <c r="AG506">
        <v>2.5</v>
      </c>
      <c r="AI506">
        <v>11.8</v>
      </c>
      <c r="AJ506">
        <v>2.5</v>
      </c>
    </row>
    <row r="507" spans="1:40" customFormat="1" ht="18" customHeight="1">
      <c r="A507">
        <v>501</v>
      </c>
      <c r="B507" t="s">
        <v>1553</v>
      </c>
      <c r="C507" t="s">
        <v>140</v>
      </c>
      <c r="D507" t="s">
        <v>140</v>
      </c>
      <c r="E507" t="s">
        <v>2451</v>
      </c>
      <c r="F507" t="s">
        <v>1389</v>
      </c>
      <c r="G507">
        <v>2007</v>
      </c>
      <c r="H507" t="s">
        <v>2244</v>
      </c>
      <c r="K507" t="s">
        <v>1240</v>
      </c>
      <c r="M507" t="s">
        <v>1251</v>
      </c>
      <c r="O507">
        <v>7.6</v>
      </c>
      <c r="P507">
        <v>4</v>
      </c>
      <c r="Q507">
        <v>15</v>
      </c>
      <c r="R507" s="716">
        <v>660</v>
      </c>
      <c r="S507" s="716">
        <v>337</v>
      </c>
      <c r="U507">
        <v>10</v>
      </c>
      <c r="V507">
        <v>3</v>
      </c>
      <c r="W507">
        <v>20</v>
      </c>
      <c r="AA507">
        <v>-1</v>
      </c>
      <c r="AB507">
        <v>-0.78</v>
      </c>
      <c r="AD507">
        <v>1</v>
      </c>
      <c r="AF507">
        <v>14.8</v>
      </c>
      <c r="AG507">
        <v>3</v>
      </c>
    </row>
    <row r="508" spans="1:40" customFormat="1" ht="18" customHeight="1">
      <c r="A508">
        <v>502</v>
      </c>
      <c r="B508" t="s">
        <v>1553</v>
      </c>
      <c r="C508" t="s">
        <v>140</v>
      </c>
      <c r="D508" t="s">
        <v>140</v>
      </c>
      <c r="E508" t="s">
        <v>2451</v>
      </c>
      <c r="F508" t="s">
        <v>1389</v>
      </c>
      <c r="G508">
        <v>2007</v>
      </c>
      <c r="H508" t="s">
        <v>2244</v>
      </c>
      <c r="K508" t="s">
        <v>1241</v>
      </c>
      <c r="M508" t="s">
        <v>1251</v>
      </c>
      <c r="O508">
        <v>8.6</v>
      </c>
      <c r="P508">
        <v>3.76</v>
      </c>
      <c r="Q508">
        <v>15</v>
      </c>
      <c r="R508" s="716">
        <v>660</v>
      </c>
      <c r="S508" s="716">
        <v>337</v>
      </c>
      <c r="U508">
        <v>10</v>
      </c>
      <c r="V508">
        <v>3</v>
      </c>
      <c r="W508">
        <v>20</v>
      </c>
      <c r="AA508">
        <v>-1</v>
      </c>
      <c r="AB508">
        <v>-0.46</v>
      </c>
      <c r="AD508">
        <v>1</v>
      </c>
      <c r="AF508">
        <v>14.8</v>
      </c>
      <c r="AG508">
        <v>3</v>
      </c>
    </row>
    <row r="509" spans="1:40" customFormat="1" ht="18" customHeight="1">
      <c r="A509">
        <v>503</v>
      </c>
      <c r="B509" t="s">
        <v>1353</v>
      </c>
      <c r="C509" t="s">
        <v>140</v>
      </c>
      <c r="D509" t="s">
        <v>140</v>
      </c>
      <c r="E509" t="s">
        <v>2451</v>
      </c>
      <c r="F509" t="s">
        <v>1393</v>
      </c>
      <c r="G509">
        <v>2005</v>
      </c>
      <c r="H509" t="s">
        <v>2244</v>
      </c>
      <c r="O509">
        <v>42</v>
      </c>
      <c r="P509">
        <v>13</v>
      </c>
      <c r="Q509">
        <v>26</v>
      </c>
      <c r="R509" s="716">
        <v>489</v>
      </c>
      <c r="S509" s="716">
        <v>181</v>
      </c>
      <c r="U509">
        <v>57</v>
      </c>
      <c r="V509">
        <v>10</v>
      </c>
      <c r="W509">
        <v>21</v>
      </c>
      <c r="AA509">
        <v>-1</v>
      </c>
      <c r="AB509">
        <v>-1.47</v>
      </c>
      <c r="AD509">
        <v>1</v>
      </c>
      <c r="AF509">
        <v>12.3</v>
      </c>
      <c r="AG509">
        <v>3.7</v>
      </c>
      <c r="AI509">
        <v>11.8</v>
      </c>
      <c r="AJ509">
        <v>3.6</v>
      </c>
    </row>
    <row r="510" spans="1:40" customFormat="1" ht="18" customHeight="1">
      <c r="A510">
        <v>504</v>
      </c>
      <c r="B510" t="s">
        <v>908</v>
      </c>
      <c r="C510" t="s">
        <v>188</v>
      </c>
      <c r="D510" t="s">
        <v>188</v>
      </c>
      <c r="F510" t="s">
        <v>2480</v>
      </c>
      <c r="G510">
        <v>1996</v>
      </c>
      <c r="H510" t="s">
        <v>2547</v>
      </c>
      <c r="K510" t="s">
        <v>202</v>
      </c>
      <c r="O510">
        <v>96</v>
      </c>
      <c r="P510">
        <v>7.25</v>
      </c>
      <c r="Q510">
        <v>11</v>
      </c>
      <c r="R510" s="716">
        <v>566</v>
      </c>
      <c r="S510" s="716"/>
      <c r="U510">
        <v>101</v>
      </c>
      <c r="V510">
        <v>9.25</v>
      </c>
      <c r="W510">
        <v>22</v>
      </c>
      <c r="Y510">
        <v>0.6</v>
      </c>
      <c r="AA510">
        <v>-1</v>
      </c>
      <c r="AB510">
        <v>-0.53</v>
      </c>
      <c r="AD510">
        <v>1</v>
      </c>
      <c r="AK510" t="s">
        <v>23</v>
      </c>
      <c r="AL510" t="s">
        <v>23</v>
      </c>
      <c r="AM510" t="s">
        <v>24</v>
      </c>
      <c r="AN510" t="s">
        <v>23</v>
      </c>
    </row>
    <row r="511" spans="1:40" customFormat="1" ht="18" customHeight="1">
      <c r="A511">
        <v>505</v>
      </c>
      <c r="B511" t="s">
        <v>908</v>
      </c>
      <c r="C511" t="s">
        <v>188</v>
      </c>
      <c r="D511" t="s">
        <v>188</v>
      </c>
      <c r="F511" t="s">
        <v>2464</v>
      </c>
      <c r="G511">
        <v>2017</v>
      </c>
      <c r="H511" t="s">
        <v>196</v>
      </c>
      <c r="K511" t="s">
        <v>197</v>
      </c>
      <c r="O511">
        <v>100</v>
      </c>
      <c r="P511">
        <v>12</v>
      </c>
      <c r="Q511">
        <v>57</v>
      </c>
      <c r="R511" s="716">
        <v>655</v>
      </c>
      <c r="S511" s="716"/>
      <c r="U511">
        <v>108</v>
      </c>
      <c r="V511">
        <v>11</v>
      </c>
      <c r="W511">
        <v>57</v>
      </c>
      <c r="Y511">
        <v>0.69</v>
      </c>
      <c r="AA511">
        <v>-1</v>
      </c>
      <c r="AB511">
        <v>-0.72</v>
      </c>
      <c r="AD511">
        <v>1</v>
      </c>
      <c r="AK511">
        <v>1</v>
      </c>
      <c r="AL511" t="s">
        <v>48</v>
      </c>
      <c r="AM511" t="s">
        <v>24</v>
      </c>
      <c r="AN511" t="s">
        <v>41</v>
      </c>
    </row>
    <row r="512" spans="1:40" customFormat="1" ht="18" customHeight="1">
      <c r="A512">
        <v>506</v>
      </c>
      <c r="B512" t="s">
        <v>908</v>
      </c>
      <c r="C512" t="s">
        <v>188</v>
      </c>
      <c r="D512" t="s">
        <v>188</v>
      </c>
      <c r="F512" t="s">
        <v>1501</v>
      </c>
      <c r="G512">
        <v>2022</v>
      </c>
      <c r="H512" t="s">
        <v>2562</v>
      </c>
      <c r="K512" t="s">
        <v>189</v>
      </c>
      <c r="O512">
        <v>97</v>
      </c>
      <c r="P512">
        <v>11.9</v>
      </c>
      <c r="Q512">
        <v>20</v>
      </c>
      <c r="R512" s="716">
        <v>702</v>
      </c>
      <c r="S512" s="716"/>
      <c r="U512">
        <v>105.1</v>
      </c>
      <c r="V512">
        <v>13.7</v>
      </c>
      <c r="W512">
        <v>40</v>
      </c>
      <c r="Y512">
        <v>0.63</v>
      </c>
      <c r="AA512">
        <v>-1</v>
      </c>
      <c r="AB512">
        <v>-0.57999999999999996</v>
      </c>
      <c r="AD512">
        <v>1</v>
      </c>
      <c r="AK512">
        <v>1</v>
      </c>
    </row>
    <row r="513" spans="1:40" customFormat="1" ht="18" customHeight="1">
      <c r="A513">
        <v>507</v>
      </c>
      <c r="B513" t="s">
        <v>908</v>
      </c>
      <c r="C513" t="s">
        <v>188</v>
      </c>
      <c r="D513" t="s">
        <v>188</v>
      </c>
      <c r="F513" t="s">
        <v>2710</v>
      </c>
      <c r="G513">
        <v>2018</v>
      </c>
      <c r="H513" t="s">
        <v>2547</v>
      </c>
      <c r="K513" t="s">
        <v>195</v>
      </c>
      <c r="O513">
        <v>103</v>
      </c>
      <c r="P513">
        <v>13.9</v>
      </c>
      <c r="Q513">
        <v>38</v>
      </c>
      <c r="R513" s="716">
        <v>751</v>
      </c>
      <c r="S513" s="716"/>
      <c r="U513">
        <v>113.9</v>
      </c>
      <c r="V513">
        <v>9.6999999999999993</v>
      </c>
      <c r="W513">
        <v>39</v>
      </c>
      <c r="Y513">
        <v>0.91</v>
      </c>
      <c r="AA513">
        <v>-1</v>
      </c>
      <c r="AB513">
        <v>-1.1100000000000001</v>
      </c>
      <c r="AD513">
        <v>1</v>
      </c>
      <c r="AK513">
        <v>1</v>
      </c>
      <c r="AL513" t="s">
        <v>48</v>
      </c>
      <c r="AM513" t="s">
        <v>32</v>
      </c>
      <c r="AN513" t="s">
        <v>41</v>
      </c>
    </row>
    <row r="514" spans="1:40" customFormat="1" ht="18" customHeight="1">
      <c r="A514">
        <v>508</v>
      </c>
      <c r="B514" t="s">
        <v>908</v>
      </c>
      <c r="C514" t="s">
        <v>188</v>
      </c>
      <c r="D514" t="s">
        <v>188</v>
      </c>
      <c r="F514" t="s">
        <v>33</v>
      </c>
      <c r="G514">
        <v>2005</v>
      </c>
      <c r="H514" t="s">
        <v>2547</v>
      </c>
      <c r="K514" t="s">
        <v>193</v>
      </c>
      <c r="O514">
        <v>107</v>
      </c>
      <c r="P514">
        <v>12.01</v>
      </c>
      <c r="Q514">
        <v>25</v>
      </c>
      <c r="R514" s="716">
        <v>759</v>
      </c>
      <c r="S514" s="716"/>
      <c r="U514">
        <v>107.3</v>
      </c>
      <c r="V514">
        <v>10.35</v>
      </c>
      <c r="W514">
        <v>25</v>
      </c>
      <c r="Y514">
        <v>0.02</v>
      </c>
      <c r="AA514">
        <v>-1</v>
      </c>
      <c r="AB514">
        <v>-0.02</v>
      </c>
      <c r="AD514">
        <v>1</v>
      </c>
      <c r="AK514">
        <v>2</v>
      </c>
      <c r="AL514" t="s">
        <v>31</v>
      </c>
      <c r="AM514" t="s">
        <v>32</v>
      </c>
      <c r="AN514" t="s">
        <v>31</v>
      </c>
    </row>
    <row r="515" spans="1:40" customFormat="1" ht="18" customHeight="1">
      <c r="A515">
        <v>509</v>
      </c>
      <c r="B515" t="s">
        <v>908</v>
      </c>
      <c r="C515" t="s">
        <v>188</v>
      </c>
      <c r="D515" t="s">
        <v>188</v>
      </c>
      <c r="F515" t="s">
        <v>76</v>
      </c>
      <c r="G515">
        <v>2013</v>
      </c>
      <c r="H515" t="s">
        <v>2547</v>
      </c>
      <c r="K515" t="s">
        <v>2022</v>
      </c>
      <c r="O515">
        <v>89.8</v>
      </c>
      <c r="P515">
        <v>20.72</v>
      </c>
      <c r="Q515">
        <v>57</v>
      </c>
      <c r="R515" s="716">
        <v>810</v>
      </c>
      <c r="S515" s="716"/>
      <c r="U515">
        <v>103.3</v>
      </c>
      <c r="V515">
        <v>16.5</v>
      </c>
      <c r="W515">
        <v>46</v>
      </c>
      <c r="Y515">
        <v>0.72</v>
      </c>
      <c r="AA515">
        <v>-1</v>
      </c>
      <c r="AB515">
        <v>-0.81</v>
      </c>
      <c r="AD515">
        <v>1</v>
      </c>
      <c r="AK515">
        <v>3</v>
      </c>
      <c r="AL515" t="s">
        <v>78</v>
      </c>
      <c r="AM515" t="s">
        <v>24</v>
      </c>
      <c r="AN515" t="s">
        <v>78</v>
      </c>
    </row>
    <row r="516" spans="1:40" customFormat="1" ht="18" customHeight="1">
      <c r="A516">
        <v>510</v>
      </c>
      <c r="B516" t="s">
        <v>908</v>
      </c>
      <c r="C516" t="s">
        <v>188</v>
      </c>
      <c r="D516" t="s">
        <v>188</v>
      </c>
      <c r="F516" t="s">
        <v>29</v>
      </c>
      <c r="G516">
        <v>2004</v>
      </c>
      <c r="H516" t="s">
        <v>2548</v>
      </c>
      <c r="K516" t="s">
        <v>192</v>
      </c>
      <c r="O516">
        <v>112.3</v>
      </c>
      <c r="P516">
        <v>9.68</v>
      </c>
      <c r="Q516">
        <v>20</v>
      </c>
      <c r="R516" s="716">
        <v>859</v>
      </c>
      <c r="S516" s="716"/>
      <c r="U516">
        <v>114.7</v>
      </c>
      <c r="V516">
        <v>10.43</v>
      </c>
      <c r="W516">
        <v>20</v>
      </c>
      <c r="Y516">
        <v>0.23</v>
      </c>
      <c r="AA516">
        <v>-1</v>
      </c>
      <c r="AB516">
        <v>-0.22</v>
      </c>
      <c r="AD516">
        <v>1</v>
      </c>
      <c r="AK516">
        <v>2</v>
      </c>
      <c r="AL516" t="s">
        <v>31</v>
      </c>
      <c r="AM516" t="s">
        <v>32</v>
      </c>
      <c r="AN516" t="s">
        <v>31</v>
      </c>
    </row>
    <row r="517" spans="1:40" customFormat="1" ht="18" customHeight="1">
      <c r="A517">
        <v>511</v>
      </c>
      <c r="B517" t="s">
        <v>908</v>
      </c>
      <c r="C517" t="s">
        <v>188</v>
      </c>
      <c r="D517" t="s">
        <v>188</v>
      </c>
      <c r="F517" t="s">
        <v>29</v>
      </c>
      <c r="G517">
        <v>2004</v>
      </c>
      <c r="H517" t="s">
        <v>2549</v>
      </c>
      <c r="K517" t="s">
        <v>192</v>
      </c>
      <c r="O517">
        <v>108.6</v>
      </c>
      <c r="P517">
        <v>9.4700000000000006</v>
      </c>
      <c r="Q517">
        <v>20</v>
      </c>
      <c r="R517" s="716">
        <v>859</v>
      </c>
      <c r="S517" s="716"/>
      <c r="U517">
        <v>107.2</v>
      </c>
      <c r="V517">
        <v>10.84</v>
      </c>
      <c r="W517">
        <v>20</v>
      </c>
      <c r="Y517">
        <v>-0.13</v>
      </c>
      <c r="AA517">
        <v>-1</v>
      </c>
      <c r="AB517">
        <v>0.12</v>
      </c>
      <c r="AD517">
        <v>1</v>
      </c>
      <c r="AK517">
        <v>2</v>
      </c>
      <c r="AL517" t="s">
        <v>31</v>
      </c>
      <c r="AM517" t="s">
        <v>32</v>
      </c>
      <c r="AN517" t="s">
        <v>31</v>
      </c>
    </row>
    <row r="518" spans="1:40" customFormat="1" ht="18" customHeight="1">
      <c r="A518">
        <v>512</v>
      </c>
      <c r="B518" t="s">
        <v>908</v>
      </c>
      <c r="C518" t="s">
        <v>188</v>
      </c>
      <c r="D518" t="s">
        <v>188</v>
      </c>
      <c r="F518" t="s">
        <v>2481</v>
      </c>
      <c r="G518">
        <v>1997</v>
      </c>
      <c r="H518" t="s">
        <v>190</v>
      </c>
      <c r="K518" t="s">
        <v>191</v>
      </c>
      <c r="O518">
        <v>104.5</v>
      </c>
      <c r="P518">
        <v>10.46</v>
      </c>
      <c r="Q518">
        <v>8</v>
      </c>
      <c r="R518" s="716">
        <v>870</v>
      </c>
      <c r="S518" s="716"/>
      <c r="U518">
        <v>104.5</v>
      </c>
      <c r="V518">
        <v>11.31</v>
      </c>
      <c r="W518">
        <v>15</v>
      </c>
      <c r="Y518">
        <v>0</v>
      </c>
      <c r="AA518">
        <v>-1</v>
      </c>
      <c r="AB518">
        <v>0</v>
      </c>
      <c r="AD518">
        <v>1</v>
      </c>
      <c r="AK518">
        <v>4</v>
      </c>
      <c r="AL518" t="s">
        <v>57</v>
      </c>
      <c r="AM518" t="s">
        <v>72</v>
      </c>
      <c r="AN518" t="s">
        <v>57</v>
      </c>
    </row>
    <row r="519" spans="1:40" customFormat="1" ht="18" customHeight="1">
      <c r="A519">
        <v>513</v>
      </c>
      <c r="B519" t="s">
        <v>908</v>
      </c>
      <c r="C519" t="s">
        <v>188</v>
      </c>
      <c r="D519" t="s">
        <v>188</v>
      </c>
      <c r="F519" t="s">
        <v>54</v>
      </c>
      <c r="G519">
        <v>2020</v>
      </c>
      <c r="H519" t="s">
        <v>2547</v>
      </c>
      <c r="K519" t="s">
        <v>202</v>
      </c>
      <c r="O519">
        <v>98.9</v>
      </c>
      <c r="P519">
        <v>15</v>
      </c>
      <c r="Q519">
        <v>19</v>
      </c>
      <c r="R519" s="716">
        <v>1042</v>
      </c>
      <c r="S519" s="716"/>
      <c r="U519">
        <v>110.1</v>
      </c>
      <c r="V519">
        <v>12</v>
      </c>
      <c r="W519">
        <v>19</v>
      </c>
      <c r="Y519">
        <v>0.82</v>
      </c>
      <c r="AA519">
        <v>-1</v>
      </c>
      <c r="AB519">
        <v>-0.91</v>
      </c>
      <c r="AD519">
        <v>1</v>
      </c>
      <c r="AK519">
        <v>1</v>
      </c>
      <c r="AL519" t="s">
        <v>48</v>
      </c>
      <c r="AM519" t="s">
        <v>24</v>
      </c>
      <c r="AN519" t="s">
        <v>41</v>
      </c>
    </row>
    <row r="520" spans="1:40" customFormat="1" ht="18" customHeight="1">
      <c r="A520">
        <v>514</v>
      </c>
      <c r="B520" t="s">
        <v>908</v>
      </c>
      <c r="C520" t="s">
        <v>188</v>
      </c>
      <c r="D520" t="s">
        <v>188</v>
      </c>
      <c r="F520" t="s">
        <v>144</v>
      </c>
      <c r="G520">
        <v>1998</v>
      </c>
      <c r="H520" t="s">
        <v>2547</v>
      </c>
      <c r="K520" t="s">
        <v>201</v>
      </c>
      <c r="O520">
        <v>97.6</v>
      </c>
      <c r="P520">
        <v>15.7</v>
      </c>
      <c r="Q520">
        <v>57</v>
      </c>
      <c r="R520" s="716">
        <v>1085</v>
      </c>
      <c r="S520" s="716"/>
      <c r="U520">
        <v>105.5</v>
      </c>
      <c r="V520">
        <v>16.100000000000001</v>
      </c>
      <c r="W520">
        <v>40</v>
      </c>
      <c r="Y520">
        <v>0.5</v>
      </c>
      <c r="AA520">
        <v>-1</v>
      </c>
      <c r="AB520">
        <v>-0.49</v>
      </c>
      <c r="AD520">
        <v>1</v>
      </c>
      <c r="AK520">
        <v>4</v>
      </c>
      <c r="AL520" t="s">
        <v>57</v>
      </c>
      <c r="AM520" t="s">
        <v>24</v>
      </c>
      <c r="AN520" t="s">
        <v>57</v>
      </c>
    </row>
    <row r="521" spans="1:40" customFormat="1" ht="18" customHeight="1">
      <c r="A521">
        <v>515</v>
      </c>
      <c r="B521" t="s">
        <v>908</v>
      </c>
      <c r="C521" t="s">
        <v>188</v>
      </c>
      <c r="D521" t="s">
        <v>188</v>
      </c>
      <c r="F521" t="s">
        <v>2663</v>
      </c>
      <c r="G521">
        <v>1996</v>
      </c>
      <c r="H521" t="s">
        <v>2547</v>
      </c>
      <c r="K521" t="s">
        <v>202</v>
      </c>
      <c r="O521">
        <v>82</v>
      </c>
      <c r="P521">
        <v>14</v>
      </c>
      <c r="Q521">
        <v>8</v>
      </c>
      <c r="R521" s="716">
        <v>1253</v>
      </c>
      <c r="S521" s="716"/>
      <c r="U521">
        <v>92.2</v>
      </c>
      <c r="V521">
        <v>8.5</v>
      </c>
      <c r="W521">
        <v>8</v>
      </c>
      <c r="Y521">
        <v>0.88</v>
      </c>
      <c r="AA521">
        <v>-1</v>
      </c>
      <c r="AB521">
        <v>-1.1299999999999999</v>
      </c>
      <c r="AD521">
        <v>1</v>
      </c>
      <c r="AK521" t="s">
        <v>23</v>
      </c>
      <c r="AL521" t="s">
        <v>23</v>
      </c>
      <c r="AM521" t="s">
        <v>24</v>
      </c>
      <c r="AN521" t="s">
        <v>23</v>
      </c>
    </row>
    <row r="522" spans="1:40" customFormat="1" ht="18" customHeight="1">
      <c r="A522">
        <v>516</v>
      </c>
      <c r="B522" t="s">
        <v>908</v>
      </c>
      <c r="C522" t="s">
        <v>188</v>
      </c>
      <c r="D522" t="s">
        <v>188</v>
      </c>
      <c r="F522" t="s">
        <v>35</v>
      </c>
      <c r="G522">
        <v>2007</v>
      </c>
      <c r="H522" t="s">
        <v>2547</v>
      </c>
      <c r="K522" t="s">
        <v>194</v>
      </c>
      <c r="O522">
        <v>101.5</v>
      </c>
      <c r="P522">
        <v>14.6</v>
      </c>
      <c r="Q522">
        <v>25</v>
      </c>
      <c r="R522" s="716">
        <v>1286</v>
      </c>
      <c r="S522" s="716"/>
      <c r="U522">
        <v>107</v>
      </c>
      <c r="V522">
        <v>8.9</v>
      </c>
      <c r="W522">
        <v>45</v>
      </c>
      <c r="Y522">
        <v>0.45</v>
      </c>
      <c r="AA522">
        <v>-1</v>
      </c>
      <c r="AB522">
        <v>-0.61</v>
      </c>
      <c r="AD522">
        <v>1</v>
      </c>
      <c r="AK522">
        <v>2</v>
      </c>
      <c r="AL522" t="s">
        <v>31</v>
      </c>
      <c r="AM522" t="s">
        <v>32</v>
      </c>
      <c r="AN522" t="s">
        <v>31</v>
      </c>
    </row>
    <row r="523" spans="1:40" customFormat="1" ht="18" customHeight="1">
      <c r="A523">
        <v>517</v>
      </c>
      <c r="B523" t="s">
        <v>908</v>
      </c>
      <c r="C523" t="s">
        <v>188</v>
      </c>
      <c r="D523" t="s">
        <v>188</v>
      </c>
      <c r="F523" t="s">
        <v>53</v>
      </c>
      <c r="G523">
        <v>1994</v>
      </c>
      <c r="H523" t="s">
        <v>2547</v>
      </c>
      <c r="K523" t="s">
        <v>201</v>
      </c>
      <c r="O523">
        <v>90</v>
      </c>
      <c r="P523">
        <v>11</v>
      </c>
      <c r="Q523">
        <v>25</v>
      </c>
      <c r="R523" s="716">
        <v>1332</v>
      </c>
      <c r="S523" s="716"/>
      <c r="U523">
        <v>100</v>
      </c>
      <c r="V523">
        <v>9</v>
      </c>
      <c r="W523">
        <v>15</v>
      </c>
      <c r="Y523">
        <v>1</v>
      </c>
      <c r="AA523">
        <v>-1</v>
      </c>
      <c r="AB523">
        <v>-1.0900000000000001</v>
      </c>
      <c r="AD523">
        <v>1</v>
      </c>
      <c r="AK523">
        <v>2</v>
      </c>
      <c r="AL523" t="s">
        <v>31</v>
      </c>
      <c r="AM523" t="s">
        <v>32</v>
      </c>
      <c r="AN523" t="s">
        <v>31</v>
      </c>
    </row>
    <row r="524" spans="1:40" customFormat="1" ht="18" customHeight="1">
      <c r="A524">
        <v>518</v>
      </c>
      <c r="B524" t="s">
        <v>908</v>
      </c>
      <c r="C524" t="s">
        <v>188</v>
      </c>
      <c r="D524" t="s">
        <v>188</v>
      </c>
      <c r="F524" t="s">
        <v>2479</v>
      </c>
      <c r="G524">
        <v>1996</v>
      </c>
      <c r="H524" t="s">
        <v>2547</v>
      </c>
      <c r="K524" t="s">
        <v>202</v>
      </c>
      <c r="O524">
        <v>95</v>
      </c>
      <c r="P524">
        <v>7.25</v>
      </c>
      <c r="Q524">
        <v>11</v>
      </c>
      <c r="R524" s="716">
        <v>1545</v>
      </c>
      <c r="S524" s="716"/>
      <c r="U524">
        <v>101</v>
      </c>
      <c r="V524">
        <v>9.25</v>
      </c>
      <c r="W524">
        <v>22</v>
      </c>
      <c r="Y524">
        <v>0.72</v>
      </c>
      <c r="AA524">
        <v>-1</v>
      </c>
      <c r="AB524">
        <v>-0.63</v>
      </c>
      <c r="AD524">
        <v>1</v>
      </c>
      <c r="AK524" t="s">
        <v>23</v>
      </c>
      <c r="AL524" t="s">
        <v>23</v>
      </c>
      <c r="AM524" t="s">
        <v>24</v>
      </c>
      <c r="AN524" t="s">
        <v>23</v>
      </c>
    </row>
    <row r="525" spans="1:40" customFormat="1" ht="18" customHeight="1">
      <c r="A525">
        <v>519</v>
      </c>
      <c r="B525" t="s">
        <v>908</v>
      </c>
      <c r="C525" t="s">
        <v>188</v>
      </c>
      <c r="D525" t="s">
        <v>188</v>
      </c>
      <c r="F525" t="s">
        <v>43</v>
      </c>
      <c r="G525">
        <v>2015</v>
      </c>
      <c r="H525" t="s">
        <v>2547</v>
      </c>
      <c r="K525" t="s">
        <v>201</v>
      </c>
      <c r="O525">
        <v>97.6</v>
      </c>
      <c r="P525">
        <v>10.75</v>
      </c>
      <c r="Q525">
        <v>14</v>
      </c>
      <c r="R525" s="716" t="s">
        <v>24</v>
      </c>
      <c r="S525" s="716"/>
      <c r="U525">
        <v>114.1</v>
      </c>
      <c r="V525">
        <v>8.91</v>
      </c>
      <c r="W525">
        <v>14</v>
      </c>
      <c r="Y525">
        <v>1.66</v>
      </c>
      <c r="AA525">
        <v>-1</v>
      </c>
      <c r="AB525">
        <v>-1.79</v>
      </c>
      <c r="AD525">
        <v>1</v>
      </c>
      <c r="AK525">
        <v>3</v>
      </c>
      <c r="AL525" t="s">
        <v>44</v>
      </c>
      <c r="AM525" t="s">
        <v>32</v>
      </c>
      <c r="AN525" t="s">
        <v>44</v>
      </c>
    </row>
    <row r="526" spans="1:40" customFormat="1" ht="18" customHeight="1">
      <c r="A526">
        <v>520</v>
      </c>
      <c r="B526" t="s">
        <v>908</v>
      </c>
      <c r="C526" t="s">
        <v>188</v>
      </c>
      <c r="D526" t="s">
        <v>188</v>
      </c>
      <c r="F526" t="s">
        <v>37</v>
      </c>
      <c r="G526">
        <v>2007</v>
      </c>
      <c r="H526" t="s">
        <v>2550</v>
      </c>
      <c r="K526" t="s">
        <v>198</v>
      </c>
      <c r="O526">
        <v>101</v>
      </c>
      <c r="P526">
        <v>19.7</v>
      </c>
      <c r="Q526">
        <v>12</v>
      </c>
      <c r="R526" s="716" t="s">
        <v>24</v>
      </c>
      <c r="S526" s="716"/>
      <c r="U526">
        <v>115</v>
      </c>
      <c r="V526">
        <v>14.2</v>
      </c>
      <c r="W526">
        <v>12</v>
      </c>
      <c r="Y526">
        <v>0.82</v>
      </c>
      <c r="AA526">
        <v>-1</v>
      </c>
      <c r="AB526">
        <v>-0.95</v>
      </c>
      <c r="AD526">
        <v>1</v>
      </c>
      <c r="AK526">
        <v>1</v>
      </c>
      <c r="AL526" t="s">
        <v>48</v>
      </c>
      <c r="AM526" t="s">
        <v>110</v>
      </c>
      <c r="AN526" t="s">
        <v>41</v>
      </c>
    </row>
    <row r="527" spans="1:40" customFormat="1" ht="18" customHeight="1">
      <c r="A527">
        <v>521</v>
      </c>
      <c r="B527" t="s">
        <v>908</v>
      </c>
      <c r="C527" t="s">
        <v>188</v>
      </c>
      <c r="D527" t="s">
        <v>188</v>
      </c>
      <c r="F527" t="s">
        <v>37</v>
      </c>
      <c r="G527">
        <v>2007</v>
      </c>
      <c r="H527" t="s">
        <v>2551</v>
      </c>
      <c r="K527" t="s">
        <v>199</v>
      </c>
      <c r="O527">
        <v>92</v>
      </c>
      <c r="P527">
        <v>12.5</v>
      </c>
      <c r="Q527">
        <v>12</v>
      </c>
      <c r="R527" s="716" t="s">
        <v>24</v>
      </c>
      <c r="S527" s="716"/>
      <c r="U527">
        <v>106</v>
      </c>
      <c r="V527">
        <v>12.5</v>
      </c>
      <c r="W527">
        <v>12</v>
      </c>
      <c r="Y527">
        <v>1.1200000000000001</v>
      </c>
      <c r="AA527">
        <v>-1</v>
      </c>
      <c r="AB527">
        <v>-1.08</v>
      </c>
      <c r="AD527">
        <v>1</v>
      </c>
      <c r="AK527">
        <v>1</v>
      </c>
      <c r="AL527" t="s">
        <v>48</v>
      </c>
      <c r="AM527" t="s">
        <v>110</v>
      </c>
      <c r="AN527" t="s">
        <v>41</v>
      </c>
    </row>
    <row r="528" spans="1:40" customFormat="1" ht="18" customHeight="1">
      <c r="A528">
        <v>522</v>
      </c>
      <c r="B528" t="s">
        <v>908</v>
      </c>
      <c r="C528" t="s">
        <v>188</v>
      </c>
      <c r="D528" t="s">
        <v>188</v>
      </c>
      <c r="F528" t="s">
        <v>37</v>
      </c>
      <c r="G528">
        <v>2007</v>
      </c>
      <c r="H528" t="s">
        <v>2552</v>
      </c>
      <c r="K528" t="s">
        <v>200</v>
      </c>
      <c r="O528">
        <v>103</v>
      </c>
      <c r="P528">
        <v>19.7</v>
      </c>
      <c r="Q528">
        <v>12</v>
      </c>
      <c r="R528" s="716" t="s">
        <v>24</v>
      </c>
      <c r="S528" s="716"/>
      <c r="U528">
        <v>101</v>
      </c>
      <c r="V528">
        <v>12.5</v>
      </c>
      <c r="W528">
        <v>12</v>
      </c>
      <c r="Y528">
        <v>-0.12</v>
      </c>
      <c r="AA528">
        <v>-1</v>
      </c>
      <c r="AB528">
        <v>0.15</v>
      </c>
      <c r="AD528">
        <v>1</v>
      </c>
      <c r="AK528">
        <v>1</v>
      </c>
      <c r="AL528" t="s">
        <v>48</v>
      </c>
      <c r="AM528" t="s">
        <v>110</v>
      </c>
      <c r="AN528" t="s">
        <v>41</v>
      </c>
    </row>
    <row r="529" spans="1:40" customFormat="1" ht="18" customHeight="1">
      <c r="A529">
        <v>523</v>
      </c>
      <c r="B529" t="s">
        <v>908</v>
      </c>
      <c r="C529" t="s">
        <v>188</v>
      </c>
      <c r="D529" t="s">
        <v>188</v>
      </c>
      <c r="F529" t="s">
        <v>2079</v>
      </c>
      <c r="G529">
        <v>1993</v>
      </c>
      <c r="H529" t="s">
        <v>949</v>
      </c>
      <c r="K529" t="s">
        <v>192</v>
      </c>
      <c r="O529">
        <v>85.7</v>
      </c>
      <c r="P529">
        <v>16</v>
      </c>
      <c r="Q529">
        <v>70</v>
      </c>
      <c r="R529" s="716" t="s">
        <v>938</v>
      </c>
      <c r="S529" s="716"/>
      <c r="U529">
        <v>95.2</v>
      </c>
      <c r="V529">
        <v>14</v>
      </c>
      <c r="W529">
        <v>68</v>
      </c>
      <c r="AA529">
        <v>-1</v>
      </c>
      <c r="AB529">
        <v>-0.67</v>
      </c>
      <c r="AD529">
        <v>1</v>
      </c>
      <c r="AF529">
        <v>21</v>
      </c>
      <c r="AG529">
        <v>3.5</v>
      </c>
      <c r="AI529">
        <v>21.2</v>
      </c>
      <c r="AJ529">
        <v>3.7</v>
      </c>
      <c r="AL529" t="s">
        <v>938</v>
      </c>
    </row>
    <row r="530" spans="1:40" customFormat="1" ht="18" customHeight="1">
      <c r="A530">
        <v>524</v>
      </c>
      <c r="B530" t="s">
        <v>1553</v>
      </c>
      <c r="C530" t="s">
        <v>188</v>
      </c>
      <c r="D530" t="s">
        <v>188</v>
      </c>
      <c r="F530" t="s">
        <v>2473</v>
      </c>
      <c r="G530">
        <v>2020</v>
      </c>
      <c r="H530" t="s">
        <v>949</v>
      </c>
      <c r="K530" t="s">
        <v>192</v>
      </c>
      <c r="O530">
        <v>106.3</v>
      </c>
      <c r="P530">
        <v>11.8</v>
      </c>
      <c r="Q530">
        <v>20</v>
      </c>
      <c r="R530" s="716">
        <v>593</v>
      </c>
      <c r="S530" s="716">
        <v>356</v>
      </c>
      <c r="U530">
        <v>113.9</v>
      </c>
      <c r="V530">
        <v>13.4</v>
      </c>
      <c r="W530">
        <v>20</v>
      </c>
      <c r="AA530">
        <v>-1</v>
      </c>
      <c r="AB530">
        <v>-0.56000000000000005</v>
      </c>
      <c r="AD530">
        <v>1</v>
      </c>
      <c r="AF530">
        <v>16</v>
      </c>
      <c r="AG530">
        <v>3.8</v>
      </c>
      <c r="AI530">
        <v>16.2</v>
      </c>
      <c r="AJ530">
        <v>3.8</v>
      </c>
      <c r="AL530" t="s">
        <v>48</v>
      </c>
      <c r="AM530" t="s">
        <v>24</v>
      </c>
      <c r="AN530" t="s">
        <v>48</v>
      </c>
    </row>
    <row r="531" spans="1:40" customFormat="1" ht="18" customHeight="1">
      <c r="A531">
        <v>525</v>
      </c>
      <c r="B531" t="s">
        <v>1553</v>
      </c>
      <c r="C531" t="s">
        <v>188</v>
      </c>
      <c r="D531" t="s">
        <v>188</v>
      </c>
      <c r="F531" t="s">
        <v>2077</v>
      </c>
      <c r="G531">
        <v>2012</v>
      </c>
      <c r="H531" t="s">
        <v>949</v>
      </c>
      <c r="K531" t="s">
        <v>192</v>
      </c>
      <c r="O531">
        <v>99.3</v>
      </c>
      <c r="P531">
        <v>11.3</v>
      </c>
      <c r="Q531">
        <v>13</v>
      </c>
      <c r="R531" s="716" t="s">
        <v>2069</v>
      </c>
      <c r="S531" s="716"/>
      <c r="U531">
        <v>110.1</v>
      </c>
      <c r="V531">
        <v>9.4</v>
      </c>
      <c r="W531">
        <v>13</v>
      </c>
      <c r="AA531">
        <v>-1</v>
      </c>
      <c r="AB531">
        <v>-1.1100000000000001</v>
      </c>
      <c r="AD531">
        <v>1</v>
      </c>
      <c r="AF531">
        <v>22.1</v>
      </c>
      <c r="AG531">
        <v>9.4</v>
      </c>
      <c r="AI531">
        <v>22.7</v>
      </c>
      <c r="AJ531">
        <v>8.9</v>
      </c>
      <c r="AL531" t="s">
        <v>2005</v>
      </c>
    </row>
    <row r="532" spans="1:40" customFormat="1" ht="18" customHeight="1">
      <c r="A532">
        <v>526</v>
      </c>
      <c r="B532" t="s">
        <v>1553</v>
      </c>
      <c r="C532" t="s">
        <v>188</v>
      </c>
      <c r="D532" t="s">
        <v>188</v>
      </c>
      <c r="F532" t="s">
        <v>2474</v>
      </c>
      <c r="G532">
        <v>2013</v>
      </c>
      <c r="H532" t="s">
        <v>949</v>
      </c>
      <c r="K532" t="s">
        <v>192</v>
      </c>
      <c r="O532">
        <v>99</v>
      </c>
      <c r="P532">
        <v>13</v>
      </c>
      <c r="Q532">
        <v>32</v>
      </c>
      <c r="R532" s="716">
        <v>734</v>
      </c>
      <c r="S532" s="716">
        <v>410</v>
      </c>
      <c r="U532">
        <v>109</v>
      </c>
      <c r="V532">
        <v>11</v>
      </c>
      <c r="W532">
        <v>12</v>
      </c>
      <c r="AA532">
        <v>-1</v>
      </c>
      <c r="AB532">
        <v>-0.89</v>
      </c>
      <c r="AD532">
        <v>1</v>
      </c>
      <c r="AF532">
        <v>18</v>
      </c>
      <c r="AG532">
        <v>9</v>
      </c>
      <c r="AI532">
        <v>17.8</v>
      </c>
      <c r="AJ532">
        <v>8</v>
      </c>
      <c r="AL532" t="s">
        <v>67</v>
      </c>
    </row>
    <row r="533" spans="1:40" customFormat="1" ht="18" customHeight="1">
      <c r="A533">
        <v>527</v>
      </c>
      <c r="B533" t="s">
        <v>1553</v>
      </c>
      <c r="C533" t="s">
        <v>188</v>
      </c>
      <c r="D533" t="s">
        <v>188</v>
      </c>
      <c r="F533" t="s">
        <v>2471</v>
      </c>
      <c r="G533">
        <v>1987</v>
      </c>
      <c r="H533" t="s">
        <v>2107</v>
      </c>
      <c r="I533" t="s">
        <v>2564</v>
      </c>
      <c r="K533" t="s">
        <v>1732</v>
      </c>
      <c r="O533">
        <v>97</v>
      </c>
      <c r="P533" t="s">
        <v>24</v>
      </c>
      <c r="Q533">
        <v>21</v>
      </c>
      <c r="R533" s="716">
        <v>1529</v>
      </c>
      <c r="S533" s="716"/>
      <c r="U533">
        <v>110.6</v>
      </c>
      <c r="V533" t="s">
        <v>24</v>
      </c>
      <c r="W533">
        <v>7</v>
      </c>
      <c r="X533" t="s">
        <v>1149</v>
      </c>
      <c r="AA533">
        <v>-1</v>
      </c>
      <c r="AB533" t="s">
        <v>24</v>
      </c>
      <c r="AD533">
        <v>0</v>
      </c>
      <c r="AF533">
        <v>16.399999999999999</v>
      </c>
      <c r="AG533">
        <v>5.6</v>
      </c>
      <c r="AI533">
        <v>13.4</v>
      </c>
      <c r="AJ533">
        <v>3.9</v>
      </c>
    </row>
    <row r="534" spans="1:40" customFormat="1" ht="18" customHeight="1">
      <c r="A534">
        <v>528</v>
      </c>
      <c r="B534" t="s">
        <v>1353</v>
      </c>
      <c r="C534" t="s">
        <v>188</v>
      </c>
      <c r="D534" t="s">
        <v>188</v>
      </c>
      <c r="F534" t="s">
        <v>1398</v>
      </c>
      <c r="G534">
        <v>1995</v>
      </c>
      <c r="H534" t="s">
        <v>466</v>
      </c>
      <c r="O534">
        <v>101.4</v>
      </c>
      <c r="P534">
        <v>10</v>
      </c>
      <c r="Q534">
        <v>20</v>
      </c>
      <c r="R534" s="716">
        <v>583</v>
      </c>
      <c r="S534" s="716">
        <v>377</v>
      </c>
      <c r="U534">
        <v>104.7</v>
      </c>
      <c r="V534">
        <v>9.5</v>
      </c>
      <c r="W534">
        <v>20</v>
      </c>
      <c r="X534">
        <v>20</v>
      </c>
      <c r="AA534">
        <v>-1</v>
      </c>
      <c r="AB534">
        <v>-0.34</v>
      </c>
      <c r="AD534">
        <v>1</v>
      </c>
      <c r="AF534">
        <v>10.9</v>
      </c>
      <c r="AG534">
        <v>1.3</v>
      </c>
      <c r="AI534">
        <v>11</v>
      </c>
      <c r="AJ534">
        <v>1.1000000000000001</v>
      </c>
    </row>
    <row r="535" spans="1:40" customFormat="1" ht="18" customHeight="1">
      <c r="A535">
        <v>529</v>
      </c>
      <c r="B535" t="s">
        <v>1353</v>
      </c>
      <c r="C535" t="s">
        <v>188</v>
      </c>
      <c r="D535" t="s">
        <v>188</v>
      </c>
      <c r="F535" t="s">
        <v>2475</v>
      </c>
      <c r="G535">
        <v>2005</v>
      </c>
      <c r="H535" t="s">
        <v>2408</v>
      </c>
      <c r="L535">
        <v>9.1999999999999993</v>
      </c>
      <c r="M535">
        <v>2</v>
      </c>
      <c r="O535">
        <v>99</v>
      </c>
      <c r="P535">
        <v>8.1</v>
      </c>
      <c r="Q535">
        <v>9</v>
      </c>
      <c r="R535" s="716">
        <v>297</v>
      </c>
      <c r="S535" s="716">
        <v>165</v>
      </c>
      <c r="U535">
        <v>103</v>
      </c>
      <c r="V535">
        <v>7.9</v>
      </c>
      <c r="W535">
        <v>9</v>
      </c>
      <c r="X535">
        <v>9</v>
      </c>
      <c r="Y535">
        <v>5</v>
      </c>
      <c r="AA535">
        <v>-1</v>
      </c>
      <c r="AB535">
        <v>-0.48</v>
      </c>
      <c r="AD535">
        <v>1</v>
      </c>
      <c r="AF535">
        <v>9.1999999999999993</v>
      </c>
      <c r="AG535">
        <v>2</v>
      </c>
      <c r="AI535">
        <v>9.1999999999999993</v>
      </c>
      <c r="AJ535">
        <v>1.9</v>
      </c>
      <c r="AL535" t="s">
        <v>1196</v>
      </c>
      <c r="AM535" t="s">
        <v>1913</v>
      </c>
    </row>
    <row r="536" spans="1:40" customFormat="1" ht="18" customHeight="1">
      <c r="A536">
        <v>530</v>
      </c>
      <c r="B536" t="s">
        <v>1353</v>
      </c>
      <c r="C536" t="s">
        <v>188</v>
      </c>
      <c r="D536" t="s">
        <v>188</v>
      </c>
      <c r="F536" t="s">
        <v>2461</v>
      </c>
      <c r="G536">
        <v>2002</v>
      </c>
      <c r="H536" t="s">
        <v>2408</v>
      </c>
      <c r="O536">
        <v>93.3</v>
      </c>
      <c r="P536">
        <v>10.23</v>
      </c>
      <c r="Q536">
        <v>36</v>
      </c>
      <c r="R536" s="716">
        <v>490</v>
      </c>
      <c r="S536" s="716">
        <v>375</v>
      </c>
      <c r="U536">
        <v>102.9</v>
      </c>
      <c r="V536">
        <v>11.77</v>
      </c>
      <c r="W536">
        <v>69</v>
      </c>
      <c r="AA536">
        <v>-1</v>
      </c>
      <c r="AB536">
        <v>-0.81</v>
      </c>
      <c r="AD536">
        <v>1</v>
      </c>
      <c r="AF536">
        <v>11.18</v>
      </c>
      <c r="AG536">
        <v>3.4</v>
      </c>
      <c r="AI536">
        <v>10.29</v>
      </c>
      <c r="AJ536">
        <v>3.1</v>
      </c>
    </row>
    <row r="537" spans="1:40" customFormat="1" ht="18" customHeight="1">
      <c r="A537">
        <v>531</v>
      </c>
      <c r="B537" t="s">
        <v>1353</v>
      </c>
      <c r="C537" t="s">
        <v>188</v>
      </c>
      <c r="D537" t="s">
        <v>188</v>
      </c>
      <c r="F537" t="s">
        <v>1390</v>
      </c>
      <c r="G537">
        <v>2003</v>
      </c>
      <c r="H537" t="s">
        <v>2408</v>
      </c>
      <c r="O537">
        <v>104.2</v>
      </c>
      <c r="P537">
        <v>10.7</v>
      </c>
      <c r="Q537">
        <v>46</v>
      </c>
      <c r="R537" s="716">
        <v>490</v>
      </c>
      <c r="S537" s="716">
        <v>375</v>
      </c>
      <c r="U537">
        <v>102.2</v>
      </c>
      <c r="V537">
        <v>13.4</v>
      </c>
      <c r="W537">
        <v>18</v>
      </c>
      <c r="Y537">
        <v>-0.16</v>
      </c>
      <c r="AA537">
        <v>-1</v>
      </c>
      <c r="AB537">
        <v>0.15</v>
      </c>
      <c r="AD537">
        <v>1</v>
      </c>
      <c r="AF537">
        <v>10.75</v>
      </c>
      <c r="AG537">
        <v>2.1</v>
      </c>
      <c r="AI537">
        <v>13.1</v>
      </c>
      <c r="AJ537">
        <v>3.2</v>
      </c>
    </row>
    <row r="538" spans="1:40" customFormat="1" ht="18" customHeight="1">
      <c r="A538">
        <v>532</v>
      </c>
      <c r="B538" t="s">
        <v>1353</v>
      </c>
      <c r="C538" t="s">
        <v>188</v>
      </c>
      <c r="D538" t="s">
        <v>188</v>
      </c>
      <c r="F538" t="s">
        <v>1391</v>
      </c>
      <c r="G538">
        <v>2011</v>
      </c>
      <c r="H538" t="s">
        <v>949</v>
      </c>
      <c r="O538">
        <v>105.8</v>
      </c>
      <c r="P538">
        <v>9.6</v>
      </c>
      <c r="Q538">
        <v>36</v>
      </c>
      <c r="R538" s="716">
        <v>509</v>
      </c>
      <c r="S538" s="716">
        <v>285</v>
      </c>
      <c r="U538">
        <v>108.5</v>
      </c>
      <c r="V538">
        <v>10</v>
      </c>
      <c r="W538">
        <v>41</v>
      </c>
      <c r="AA538">
        <v>-1</v>
      </c>
      <c r="AB538">
        <v>-0.27</v>
      </c>
      <c r="AD538">
        <v>1</v>
      </c>
    </row>
    <row r="539" spans="1:40" customFormat="1" ht="18" customHeight="1">
      <c r="A539">
        <v>533</v>
      </c>
      <c r="B539" t="s">
        <v>1353</v>
      </c>
      <c r="C539" t="s">
        <v>188</v>
      </c>
      <c r="D539" t="s">
        <v>188</v>
      </c>
      <c r="F539" t="s">
        <v>585</v>
      </c>
      <c r="G539">
        <v>2012</v>
      </c>
      <c r="H539" t="s">
        <v>2409</v>
      </c>
      <c r="O539">
        <v>106</v>
      </c>
      <c r="P539">
        <v>10.9</v>
      </c>
      <c r="Q539">
        <v>42</v>
      </c>
      <c r="R539" s="716">
        <v>546</v>
      </c>
      <c r="S539" s="716">
        <v>331</v>
      </c>
      <c r="U539">
        <v>114.6</v>
      </c>
      <c r="V539">
        <v>13.9</v>
      </c>
      <c r="W539">
        <v>81</v>
      </c>
      <c r="AA539">
        <v>-1</v>
      </c>
      <c r="AB539">
        <v>-0.61</v>
      </c>
      <c r="AD539">
        <v>1</v>
      </c>
      <c r="AF539">
        <v>11.8</v>
      </c>
      <c r="AG539">
        <v>3.5</v>
      </c>
      <c r="AI539">
        <v>12.3</v>
      </c>
      <c r="AJ539">
        <v>3.2</v>
      </c>
    </row>
    <row r="540" spans="1:40" customFormat="1" ht="18" customHeight="1">
      <c r="A540">
        <v>534</v>
      </c>
      <c r="B540" t="s">
        <v>1353</v>
      </c>
      <c r="C540" t="s">
        <v>188</v>
      </c>
      <c r="D540" t="s">
        <v>188</v>
      </c>
      <c r="F540" t="s">
        <v>1394</v>
      </c>
      <c r="G540">
        <v>2004</v>
      </c>
      <c r="H540" t="s">
        <v>2410</v>
      </c>
      <c r="O540">
        <v>102.1</v>
      </c>
      <c r="P540">
        <v>10.210000000000001</v>
      </c>
      <c r="Q540">
        <v>14</v>
      </c>
      <c r="R540" s="716">
        <v>491</v>
      </c>
      <c r="S540" s="716">
        <v>149</v>
      </c>
      <c r="U540">
        <v>108.8</v>
      </c>
      <c r="V540">
        <v>12.7</v>
      </c>
      <c r="W540">
        <v>14</v>
      </c>
      <c r="AA540">
        <v>-1</v>
      </c>
      <c r="AB540">
        <v>-0.51</v>
      </c>
      <c r="AD540">
        <v>1</v>
      </c>
      <c r="AF540">
        <v>10.8</v>
      </c>
      <c r="AG540">
        <v>1.25</v>
      </c>
      <c r="AI540">
        <v>10.9</v>
      </c>
      <c r="AJ540">
        <v>1.3</v>
      </c>
    </row>
    <row r="541" spans="1:40" customFormat="1" ht="18" customHeight="1">
      <c r="A541">
        <v>535</v>
      </c>
      <c r="B541" t="s">
        <v>1353</v>
      </c>
      <c r="C541" t="s">
        <v>188</v>
      </c>
      <c r="D541" t="s">
        <v>188</v>
      </c>
      <c r="F541" t="s">
        <v>1395</v>
      </c>
      <c r="G541">
        <v>2000</v>
      </c>
      <c r="H541" t="s">
        <v>2411</v>
      </c>
      <c r="K541" t="s">
        <v>2412</v>
      </c>
      <c r="O541">
        <v>101</v>
      </c>
      <c r="P541">
        <v>10.4</v>
      </c>
      <c r="Q541">
        <v>19</v>
      </c>
      <c r="R541" s="716">
        <v>777</v>
      </c>
      <c r="S541" s="716">
        <v>200</v>
      </c>
      <c r="U541">
        <v>101</v>
      </c>
      <c r="V541">
        <v>12</v>
      </c>
      <c r="W541">
        <v>19</v>
      </c>
      <c r="AA541">
        <v>-1</v>
      </c>
      <c r="AB541">
        <v>0</v>
      </c>
      <c r="AD541">
        <v>1</v>
      </c>
      <c r="AF541">
        <v>9.4</v>
      </c>
      <c r="AG541">
        <v>2.9</v>
      </c>
      <c r="AI541">
        <v>9.3000000000000007</v>
      </c>
      <c r="AJ541">
        <v>2.9</v>
      </c>
    </row>
    <row r="542" spans="1:40" customFormat="1" ht="18" customHeight="1">
      <c r="A542">
        <v>536</v>
      </c>
      <c r="B542" t="s">
        <v>1353</v>
      </c>
      <c r="C542" t="s">
        <v>188</v>
      </c>
      <c r="D542" t="s">
        <v>188</v>
      </c>
      <c r="F542" t="s">
        <v>1396</v>
      </c>
      <c r="G542">
        <v>1999</v>
      </c>
      <c r="H542" t="s">
        <v>2410</v>
      </c>
      <c r="O542">
        <v>98</v>
      </c>
      <c r="P542">
        <v>13</v>
      </c>
      <c r="Q542">
        <v>36</v>
      </c>
      <c r="R542" s="716">
        <v>455</v>
      </c>
      <c r="S542" s="716">
        <v>250</v>
      </c>
      <c r="U542">
        <v>105</v>
      </c>
      <c r="V542">
        <v>11</v>
      </c>
      <c r="W542">
        <v>36</v>
      </c>
      <c r="AA542">
        <v>-1</v>
      </c>
      <c r="AB542">
        <v>-0.63</v>
      </c>
      <c r="AD542">
        <v>1</v>
      </c>
      <c r="AF542">
        <v>13.3</v>
      </c>
      <c r="AG542">
        <v>3</v>
      </c>
      <c r="AI542">
        <v>13.2</v>
      </c>
      <c r="AJ542">
        <v>3</v>
      </c>
    </row>
    <row r="543" spans="1:40" customFormat="1" ht="18" customHeight="1">
      <c r="A543">
        <v>537</v>
      </c>
      <c r="B543" t="s">
        <v>1353</v>
      </c>
      <c r="C543" t="s">
        <v>188</v>
      </c>
      <c r="D543" t="s">
        <v>188</v>
      </c>
      <c r="F543" t="s">
        <v>662</v>
      </c>
      <c r="G543">
        <v>2001</v>
      </c>
      <c r="H543" t="s">
        <v>2413</v>
      </c>
      <c r="K543" t="s">
        <v>2414</v>
      </c>
      <c r="O543">
        <v>106</v>
      </c>
      <c r="P543">
        <v>19</v>
      </c>
      <c r="Q543">
        <v>23</v>
      </c>
      <c r="R543" s="716">
        <v>496</v>
      </c>
      <c r="S543" s="716">
        <v>230</v>
      </c>
      <c r="U543">
        <v>113</v>
      </c>
      <c r="V543">
        <v>19</v>
      </c>
      <c r="W543">
        <v>23</v>
      </c>
      <c r="AA543">
        <v>-1</v>
      </c>
      <c r="AB543">
        <v>-0.36</v>
      </c>
      <c r="AD543">
        <v>1</v>
      </c>
      <c r="AF543">
        <v>10.7</v>
      </c>
      <c r="AG543">
        <v>3.4</v>
      </c>
      <c r="AI543">
        <v>11.1</v>
      </c>
      <c r="AJ543">
        <v>3.7</v>
      </c>
    </row>
    <row r="544" spans="1:40" customFormat="1" ht="18" customHeight="1">
      <c r="A544">
        <v>538</v>
      </c>
      <c r="B544" t="s">
        <v>1353</v>
      </c>
      <c r="C544" t="s">
        <v>188</v>
      </c>
      <c r="D544" t="s">
        <v>188</v>
      </c>
      <c r="F544" t="s">
        <v>662</v>
      </c>
      <c r="G544">
        <v>2001</v>
      </c>
      <c r="H544" t="s">
        <v>2415</v>
      </c>
      <c r="K544" t="s">
        <v>2416</v>
      </c>
      <c r="O544">
        <v>107</v>
      </c>
      <c r="P544">
        <v>15</v>
      </c>
      <c r="Q544">
        <v>23</v>
      </c>
      <c r="R544" s="716">
        <v>496</v>
      </c>
      <c r="S544" s="716">
        <v>230</v>
      </c>
      <c r="U544">
        <v>114</v>
      </c>
      <c r="V544">
        <v>16</v>
      </c>
      <c r="W544">
        <v>23</v>
      </c>
      <c r="AA544">
        <v>-1</v>
      </c>
      <c r="AB544">
        <v>-0.43</v>
      </c>
      <c r="AD544">
        <v>1</v>
      </c>
      <c r="AF544">
        <v>10.7</v>
      </c>
      <c r="AG544">
        <v>3.4</v>
      </c>
      <c r="AI544">
        <v>11.1</v>
      </c>
      <c r="AJ544">
        <v>3.7</v>
      </c>
    </row>
    <row r="545" spans="1:40" customFormat="1" ht="18" customHeight="1">
      <c r="A545">
        <v>539</v>
      </c>
      <c r="B545" t="s">
        <v>1353</v>
      </c>
      <c r="C545" t="s">
        <v>188</v>
      </c>
      <c r="D545" t="s">
        <v>188</v>
      </c>
      <c r="F545" t="s">
        <v>1397</v>
      </c>
      <c r="G545">
        <v>2006</v>
      </c>
      <c r="H545" t="s">
        <v>949</v>
      </c>
      <c r="O545">
        <v>102.2</v>
      </c>
      <c r="P545">
        <v>9.9</v>
      </c>
      <c r="Q545">
        <v>26</v>
      </c>
      <c r="R545" s="716">
        <v>424</v>
      </c>
      <c r="S545" s="716">
        <v>339</v>
      </c>
      <c r="U545">
        <v>107.7</v>
      </c>
      <c r="V545">
        <v>10.6</v>
      </c>
      <c r="W545">
        <v>25</v>
      </c>
      <c r="AA545">
        <v>-1</v>
      </c>
      <c r="AB545">
        <v>-0.51</v>
      </c>
      <c r="AD545">
        <v>1</v>
      </c>
      <c r="AF545">
        <v>11.2</v>
      </c>
      <c r="AG545">
        <v>3.1</v>
      </c>
      <c r="AI545">
        <v>11.3</v>
      </c>
      <c r="AJ545">
        <v>3.4</v>
      </c>
    </row>
    <row r="546" spans="1:40" customFormat="1" ht="18" customHeight="1">
      <c r="A546">
        <v>540</v>
      </c>
      <c r="B546" t="s">
        <v>1353</v>
      </c>
      <c r="C546" t="s">
        <v>188</v>
      </c>
      <c r="D546" t="s">
        <v>188</v>
      </c>
      <c r="F546" t="s">
        <v>1393</v>
      </c>
      <c r="G546">
        <v>2005</v>
      </c>
      <c r="H546" t="s">
        <v>2417</v>
      </c>
      <c r="O546">
        <v>102</v>
      </c>
      <c r="P546">
        <v>9</v>
      </c>
      <c r="Q546">
        <v>26</v>
      </c>
      <c r="R546" s="716">
        <v>489</v>
      </c>
      <c r="S546" s="716">
        <v>181</v>
      </c>
      <c r="U546">
        <v>112</v>
      </c>
      <c r="V546">
        <v>8</v>
      </c>
      <c r="W546">
        <v>21</v>
      </c>
      <c r="AA546">
        <v>-1</v>
      </c>
      <c r="AB546">
        <v>-1.23</v>
      </c>
      <c r="AD546">
        <v>1</v>
      </c>
      <c r="AF546">
        <v>12.3</v>
      </c>
      <c r="AG546">
        <v>3.7</v>
      </c>
      <c r="AI546">
        <v>11.8</v>
      </c>
      <c r="AJ546">
        <v>3.6</v>
      </c>
    </row>
    <row r="547" spans="1:40" customFormat="1" ht="18" customHeight="1">
      <c r="A547">
        <v>541</v>
      </c>
      <c r="R547" s="716"/>
      <c r="S547" s="716"/>
      <c r="AD547">
        <v>0</v>
      </c>
    </row>
    <row r="548" spans="1:40" customFormat="1" ht="18" customHeight="1">
      <c r="A548">
        <v>542</v>
      </c>
      <c r="B548" t="s">
        <v>908</v>
      </c>
      <c r="C548" t="s">
        <v>169</v>
      </c>
      <c r="D548" t="s">
        <v>169</v>
      </c>
      <c r="F548" t="s">
        <v>2710</v>
      </c>
      <c r="G548">
        <v>2020</v>
      </c>
      <c r="H548" t="s">
        <v>2553</v>
      </c>
      <c r="I548" t="s">
        <v>961</v>
      </c>
      <c r="J548" t="s">
        <v>961</v>
      </c>
      <c r="K548" t="s">
        <v>182</v>
      </c>
      <c r="O548">
        <v>23.1</v>
      </c>
      <c r="P548">
        <v>2.9</v>
      </c>
      <c r="Q548">
        <v>20</v>
      </c>
      <c r="R548" s="716">
        <v>670</v>
      </c>
      <c r="S548" s="716"/>
      <c r="U548">
        <v>22.6</v>
      </c>
      <c r="V548">
        <v>4.8</v>
      </c>
      <c r="W548">
        <v>25</v>
      </c>
      <c r="Y548">
        <v>-0.13</v>
      </c>
      <c r="AA548">
        <v>-1</v>
      </c>
      <c r="AB548">
        <v>0.1</v>
      </c>
      <c r="AD548">
        <v>1</v>
      </c>
      <c r="AK548">
        <v>2</v>
      </c>
      <c r="AL548" t="s">
        <v>31</v>
      </c>
      <c r="AM548" t="s">
        <v>32</v>
      </c>
      <c r="AN548" t="s">
        <v>31</v>
      </c>
    </row>
    <row r="549" spans="1:40" customFormat="1" ht="18" customHeight="1">
      <c r="A549">
        <v>543</v>
      </c>
      <c r="B549" t="s">
        <v>908</v>
      </c>
      <c r="C549" t="s">
        <v>169</v>
      </c>
      <c r="D549" t="s">
        <v>169</v>
      </c>
      <c r="F549" t="s">
        <v>2710</v>
      </c>
      <c r="G549">
        <v>2020</v>
      </c>
      <c r="H549" t="s">
        <v>2554</v>
      </c>
      <c r="I549" t="s">
        <v>1419</v>
      </c>
      <c r="J549" t="s">
        <v>1419</v>
      </c>
      <c r="K549" t="s">
        <v>183</v>
      </c>
      <c r="O549">
        <v>5.5</v>
      </c>
      <c r="P549">
        <v>2</v>
      </c>
      <c r="Q549">
        <v>20</v>
      </c>
      <c r="R549" s="716">
        <v>670</v>
      </c>
      <c r="S549" s="716"/>
      <c r="U549">
        <v>4.5</v>
      </c>
      <c r="V549">
        <v>1.9</v>
      </c>
      <c r="W549">
        <v>25</v>
      </c>
      <c r="Y549">
        <v>-0.51</v>
      </c>
      <c r="AA549">
        <v>1</v>
      </c>
      <c r="AB549">
        <v>-0.52</v>
      </c>
      <c r="AD549">
        <v>1</v>
      </c>
      <c r="AK549">
        <v>2</v>
      </c>
      <c r="AL549" t="s">
        <v>31</v>
      </c>
      <c r="AM549" t="s">
        <v>32</v>
      </c>
      <c r="AN549" t="s">
        <v>31</v>
      </c>
    </row>
    <row r="550" spans="1:40" customFormat="1" ht="18" customHeight="1">
      <c r="A550">
        <v>544</v>
      </c>
      <c r="B550" t="s">
        <v>908</v>
      </c>
      <c r="C550" t="s">
        <v>169</v>
      </c>
      <c r="D550" t="s">
        <v>169</v>
      </c>
      <c r="F550" t="s">
        <v>2710</v>
      </c>
      <c r="G550">
        <v>2020</v>
      </c>
      <c r="H550" t="s">
        <v>2555</v>
      </c>
      <c r="I550" t="s">
        <v>961</v>
      </c>
      <c r="J550" t="s">
        <v>961</v>
      </c>
      <c r="K550" t="s">
        <v>180</v>
      </c>
      <c r="O550">
        <v>18.5</v>
      </c>
      <c r="P550">
        <v>2</v>
      </c>
      <c r="Q550">
        <v>20</v>
      </c>
      <c r="R550" s="716">
        <v>670</v>
      </c>
      <c r="S550" s="716"/>
      <c r="U550">
        <v>18.2</v>
      </c>
      <c r="V550">
        <v>2</v>
      </c>
      <c r="W550">
        <v>25</v>
      </c>
      <c r="Y550">
        <v>-0.15</v>
      </c>
      <c r="AA550">
        <v>-1</v>
      </c>
      <c r="AB550">
        <v>0.15</v>
      </c>
      <c r="AD550">
        <v>1</v>
      </c>
      <c r="AK550">
        <v>2</v>
      </c>
      <c r="AL550" t="s">
        <v>31</v>
      </c>
      <c r="AM550" t="s">
        <v>32</v>
      </c>
      <c r="AN550" t="s">
        <v>31</v>
      </c>
    </row>
    <row r="551" spans="1:40" customFormat="1" ht="18" customHeight="1">
      <c r="A551">
        <v>545</v>
      </c>
      <c r="B551" t="s">
        <v>908</v>
      </c>
      <c r="C551" t="s">
        <v>169</v>
      </c>
      <c r="D551" t="s">
        <v>169</v>
      </c>
      <c r="F551" t="s">
        <v>2710</v>
      </c>
      <c r="G551">
        <v>2020</v>
      </c>
      <c r="H551" t="s">
        <v>2556</v>
      </c>
      <c r="I551" t="s">
        <v>1419</v>
      </c>
      <c r="J551" t="s">
        <v>1419</v>
      </c>
      <c r="K551" t="s">
        <v>181</v>
      </c>
      <c r="O551">
        <v>5.6</v>
      </c>
      <c r="P551">
        <v>1.2</v>
      </c>
      <c r="Q551">
        <v>20</v>
      </c>
      <c r="R551" s="716">
        <v>670</v>
      </c>
      <c r="S551" s="716"/>
      <c r="U551">
        <v>4.7</v>
      </c>
      <c r="V551">
        <v>1.3</v>
      </c>
      <c r="W551">
        <v>25</v>
      </c>
      <c r="Y551">
        <v>-0.72</v>
      </c>
      <c r="AA551">
        <v>1</v>
      </c>
      <c r="AB551">
        <v>-0.68</v>
      </c>
      <c r="AD551">
        <v>1</v>
      </c>
      <c r="AK551">
        <v>2</v>
      </c>
      <c r="AL551" t="s">
        <v>31</v>
      </c>
      <c r="AM551" t="s">
        <v>32</v>
      </c>
      <c r="AN551" t="s">
        <v>31</v>
      </c>
    </row>
    <row r="552" spans="1:40" customFormat="1" ht="18" customHeight="1">
      <c r="A552">
        <v>546</v>
      </c>
      <c r="B552" t="s">
        <v>908</v>
      </c>
      <c r="C552" t="s">
        <v>169</v>
      </c>
      <c r="D552" t="s">
        <v>169</v>
      </c>
      <c r="F552" t="s">
        <v>2464</v>
      </c>
      <c r="G552">
        <v>2016</v>
      </c>
      <c r="H552" t="s">
        <v>2557</v>
      </c>
      <c r="K552" t="s">
        <v>2591</v>
      </c>
      <c r="O552">
        <v>7.1</v>
      </c>
      <c r="P552">
        <v>3.5</v>
      </c>
      <c r="Q552">
        <v>56</v>
      </c>
      <c r="R552" s="716">
        <v>657</v>
      </c>
      <c r="S552" s="716"/>
      <c r="U552">
        <v>5.6</v>
      </c>
      <c r="V552">
        <v>3.4</v>
      </c>
      <c r="W552">
        <v>53</v>
      </c>
      <c r="Y552">
        <v>-0.43</v>
      </c>
      <c r="AA552">
        <v>1</v>
      </c>
      <c r="AB552">
        <v>-0.44</v>
      </c>
      <c r="AD552">
        <v>1</v>
      </c>
      <c r="AK552">
        <v>1</v>
      </c>
      <c r="AL552" t="s">
        <v>48</v>
      </c>
      <c r="AM552" t="s">
        <v>24</v>
      </c>
      <c r="AN552" t="s">
        <v>41</v>
      </c>
    </row>
    <row r="553" spans="1:40" customFormat="1" ht="18" customHeight="1">
      <c r="A553">
        <v>547</v>
      </c>
      <c r="B553" t="s">
        <v>908</v>
      </c>
      <c r="C553" t="s">
        <v>169</v>
      </c>
      <c r="D553" t="s">
        <v>169</v>
      </c>
      <c r="F553" t="s">
        <v>2464</v>
      </c>
      <c r="G553">
        <v>2016</v>
      </c>
      <c r="H553" t="s">
        <v>172</v>
      </c>
      <c r="K553" t="s">
        <v>173</v>
      </c>
      <c r="O553">
        <v>1197</v>
      </c>
      <c r="P553">
        <v>272</v>
      </c>
      <c r="Q553">
        <v>56</v>
      </c>
      <c r="R553" s="716">
        <v>657</v>
      </c>
      <c r="S553" s="716"/>
      <c r="U553">
        <v>1133</v>
      </c>
      <c r="V553">
        <v>221</v>
      </c>
      <c r="W553">
        <v>53</v>
      </c>
      <c r="Y553">
        <v>-0.26</v>
      </c>
      <c r="AA553">
        <v>1</v>
      </c>
      <c r="AB553">
        <v>-0.28999999999999998</v>
      </c>
      <c r="AD553">
        <v>1</v>
      </c>
      <c r="AK553">
        <v>1</v>
      </c>
      <c r="AL553" t="s">
        <v>48</v>
      </c>
      <c r="AM553" t="s">
        <v>24</v>
      </c>
      <c r="AN553" t="s">
        <v>41</v>
      </c>
    </row>
    <row r="554" spans="1:40" customFormat="1" ht="18" customHeight="1">
      <c r="A554">
        <v>548</v>
      </c>
      <c r="B554" t="s">
        <v>908</v>
      </c>
      <c r="C554" t="s">
        <v>169</v>
      </c>
      <c r="D554" t="s">
        <v>169</v>
      </c>
      <c r="F554" t="s">
        <v>2464</v>
      </c>
      <c r="G554">
        <v>2016</v>
      </c>
      <c r="H554" t="s">
        <v>174</v>
      </c>
      <c r="I554" t="s">
        <v>961</v>
      </c>
      <c r="J554" t="s">
        <v>961</v>
      </c>
      <c r="K554" t="s">
        <v>2592</v>
      </c>
      <c r="O554">
        <v>5.7</v>
      </c>
      <c r="P554">
        <v>3.1</v>
      </c>
      <c r="Q554">
        <v>56</v>
      </c>
      <c r="R554" s="716">
        <v>657</v>
      </c>
      <c r="S554" s="716"/>
      <c r="U554">
        <v>4.5999999999999996</v>
      </c>
      <c r="V554">
        <v>2.5</v>
      </c>
      <c r="W554">
        <v>53</v>
      </c>
      <c r="Y554">
        <v>-0.39</v>
      </c>
      <c r="AA554">
        <v>1</v>
      </c>
      <c r="AB554">
        <v>-0.44</v>
      </c>
      <c r="AD554">
        <v>1</v>
      </c>
      <c r="AK554">
        <v>1</v>
      </c>
      <c r="AL554" t="s">
        <v>48</v>
      </c>
      <c r="AM554" t="s">
        <v>24</v>
      </c>
      <c r="AN554" t="s">
        <v>41</v>
      </c>
    </row>
    <row r="555" spans="1:40" customFormat="1" ht="18" customHeight="1">
      <c r="A555">
        <v>549</v>
      </c>
      <c r="B555" t="s">
        <v>908</v>
      </c>
      <c r="C555" t="s">
        <v>169</v>
      </c>
      <c r="D555" t="s">
        <v>169</v>
      </c>
      <c r="F555" t="s">
        <v>2464</v>
      </c>
      <c r="G555">
        <v>2016</v>
      </c>
      <c r="H555" t="s">
        <v>175</v>
      </c>
      <c r="I555" t="s">
        <v>1419</v>
      </c>
      <c r="J555" t="s">
        <v>1419</v>
      </c>
      <c r="K555" t="s">
        <v>176</v>
      </c>
      <c r="O555">
        <v>874</v>
      </c>
      <c r="P555">
        <v>182</v>
      </c>
      <c r="Q555">
        <v>56</v>
      </c>
      <c r="R555" s="716">
        <v>657</v>
      </c>
      <c r="S555" s="716"/>
      <c r="U555">
        <v>796</v>
      </c>
      <c r="V555">
        <v>157</v>
      </c>
      <c r="W555">
        <v>53</v>
      </c>
      <c r="Y555">
        <v>-0.46</v>
      </c>
      <c r="AA555">
        <v>1</v>
      </c>
      <c r="AB555">
        <v>-0.49</v>
      </c>
      <c r="AD555">
        <v>1</v>
      </c>
      <c r="AK555">
        <v>1</v>
      </c>
      <c r="AL555" t="s">
        <v>48</v>
      </c>
      <c r="AM555" t="s">
        <v>24</v>
      </c>
      <c r="AN555" t="s">
        <v>41</v>
      </c>
    </row>
    <row r="556" spans="1:40" customFormat="1" ht="18" customHeight="1">
      <c r="A556">
        <v>550</v>
      </c>
      <c r="B556" t="s">
        <v>908</v>
      </c>
      <c r="C556" t="s">
        <v>169</v>
      </c>
      <c r="D556" t="s">
        <v>169</v>
      </c>
      <c r="F556" t="s">
        <v>2479</v>
      </c>
      <c r="G556">
        <v>1996</v>
      </c>
      <c r="H556" t="s">
        <v>186</v>
      </c>
      <c r="K556" t="s">
        <v>187</v>
      </c>
      <c r="O556">
        <v>24.5</v>
      </c>
      <c r="P556">
        <v>4.1399999999999997</v>
      </c>
      <c r="Q556">
        <v>11</v>
      </c>
      <c r="R556" s="716">
        <v>1545</v>
      </c>
      <c r="S556" s="716"/>
      <c r="U556">
        <v>28</v>
      </c>
      <c r="V556">
        <v>4.47</v>
      </c>
      <c r="W556">
        <v>22</v>
      </c>
      <c r="Y556">
        <v>0.8</v>
      </c>
      <c r="AA556">
        <v>-1</v>
      </c>
      <c r="AB556">
        <v>-0.75</v>
      </c>
      <c r="AD556">
        <v>1</v>
      </c>
      <c r="AK556" t="s">
        <v>23</v>
      </c>
      <c r="AL556" t="s">
        <v>23</v>
      </c>
      <c r="AM556" t="s">
        <v>24</v>
      </c>
      <c r="AN556" t="s">
        <v>23</v>
      </c>
    </row>
    <row r="557" spans="1:40" customFormat="1" ht="18" customHeight="1">
      <c r="A557">
        <v>551</v>
      </c>
      <c r="B557" t="s">
        <v>908</v>
      </c>
      <c r="C557" t="s">
        <v>169</v>
      </c>
      <c r="D557" t="s">
        <v>169</v>
      </c>
      <c r="F557" t="s">
        <v>2480</v>
      </c>
      <c r="G557">
        <v>1996</v>
      </c>
      <c r="H557" t="s">
        <v>186</v>
      </c>
      <c r="K557" t="s">
        <v>187</v>
      </c>
      <c r="O557">
        <v>24.8</v>
      </c>
      <c r="P557">
        <v>4.47</v>
      </c>
      <c r="Q557">
        <v>11</v>
      </c>
      <c r="R557" s="716">
        <v>566</v>
      </c>
      <c r="S557" s="716"/>
      <c r="U557">
        <v>28</v>
      </c>
      <c r="V557">
        <v>4.47</v>
      </c>
      <c r="W557">
        <v>22</v>
      </c>
      <c r="Y557">
        <v>0.7</v>
      </c>
      <c r="AA557">
        <v>-1</v>
      </c>
      <c r="AB557">
        <v>-0.69</v>
      </c>
      <c r="AD557">
        <v>1</v>
      </c>
      <c r="AK557" t="s">
        <v>23</v>
      </c>
      <c r="AL557" t="s">
        <v>23</v>
      </c>
      <c r="AM557" t="s">
        <v>24</v>
      </c>
      <c r="AN557" t="s">
        <v>23</v>
      </c>
    </row>
    <row r="558" spans="1:40" customFormat="1" ht="18" customHeight="1">
      <c r="A558">
        <v>552</v>
      </c>
      <c r="B558" t="s">
        <v>908</v>
      </c>
      <c r="C558" t="s">
        <v>169</v>
      </c>
      <c r="D558" t="s">
        <v>169</v>
      </c>
      <c r="F558" t="s">
        <v>2479</v>
      </c>
      <c r="G558">
        <v>1996</v>
      </c>
      <c r="H558" t="s">
        <v>184</v>
      </c>
      <c r="K558" t="s">
        <v>185</v>
      </c>
      <c r="O558">
        <v>9.6</v>
      </c>
      <c r="P558">
        <v>2.0699999999999998</v>
      </c>
      <c r="Q558">
        <v>11</v>
      </c>
      <c r="R558" s="716">
        <v>1545</v>
      </c>
      <c r="S558" s="716"/>
      <c r="U558">
        <v>11.9</v>
      </c>
      <c r="V558">
        <v>2.75</v>
      </c>
      <c r="W558">
        <v>22</v>
      </c>
      <c r="Y558">
        <v>0.93</v>
      </c>
      <c r="AA558">
        <v>-1</v>
      </c>
      <c r="AB558">
        <v>-0.8</v>
      </c>
      <c r="AD558">
        <v>1</v>
      </c>
      <c r="AK558" t="s">
        <v>23</v>
      </c>
      <c r="AL558" t="s">
        <v>23</v>
      </c>
      <c r="AM558" t="s">
        <v>24</v>
      </c>
      <c r="AN558" t="s">
        <v>23</v>
      </c>
    </row>
    <row r="559" spans="1:40" customFormat="1" ht="18" customHeight="1">
      <c r="A559">
        <v>553</v>
      </c>
      <c r="B559" t="s">
        <v>908</v>
      </c>
      <c r="C559" t="s">
        <v>169</v>
      </c>
      <c r="D559" t="s">
        <v>169</v>
      </c>
      <c r="F559" t="s">
        <v>2480</v>
      </c>
      <c r="G559">
        <v>1996</v>
      </c>
      <c r="H559" t="s">
        <v>184</v>
      </c>
      <c r="K559" t="s">
        <v>185</v>
      </c>
      <c r="O559">
        <v>10.4</v>
      </c>
      <c r="P559">
        <v>3.59</v>
      </c>
      <c r="Q559">
        <v>11</v>
      </c>
      <c r="R559" s="716">
        <v>566</v>
      </c>
      <c r="S559" s="716"/>
      <c r="U559">
        <v>11.9</v>
      </c>
      <c r="V559">
        <v>2.75</v>
      </c>
      <c r="W559">
        <v>22</v>
      </c>
      <c r="Y559">
        <v>0.46</v>
      </c>
      <c r="AA559">
        <v>-1</v>
      </c>
      <c r="AB559">
        <v>-0.52</v>
      </c>
      <c r="AD559">
        <v>1</v>
      </c>
      <c r="AK559" t="s">
        <v>23</v>
      </c>
      <c r="AL559" t="s">
        <v>23</v>
      </c>
      <c r="AM559" t="s">
        <v>24</v>
      </c>
      <c r="AN559" t="s">
        <v>23</v>
      </c>
    </row>
    <row r="560" spans="1:40" customFormat="1" ht="18" customHeight="1">
      <c r="A560">
        <v>554</v>
      </c>
      <c r="B560" t="s">
        <v>908</v>
      </c>
      <c r="C560" t="s">
        <v>169</v>
      </c>
      <c r="D560" t="s">
        <v>169</v>
      </c>
      <c r="F560" t="s">
        <v>2464</v>
      </c>
      <c r="G560">
        <v>2016</v>
      </c>
      <c r="H560" t="s">
        <v>2558</v>
      </c>
      <c r="K560" t="s">
        <v>177</v>
      </c>
      <c r="O560">
        <v>49.2</v>
      </c>
      <c r="P560">
        <v>5.0999999999999996</v>
      </c>
      <c r="Q560">
        <v>56</v>
      </c>
      <c r="R560" s="716">
        <v>657</v>
      </c>
      <c r="S560" s="716"/>
      <c r="U560">
        <v>51.3</v>
      </c>
      <c r="V560">
        <v>4.5999999999999996</v>
      </c>
      <c r="W560">
        <v>53</v>
      </c>
      <c r="Y560">
        <v>0.43</v>
      </c>
      <c r="AA560">
        <v>-1</v>
      </c>
      <c r="AB560">
        <v>-0.45</v>
      </c>
      <c r="AD560">
        <v>1</v>
      </c>
      <c r="AK560">
        <v>1</v>
      </c>
      <c r="AL560" t="s">
        <v>48</v>
      </c>
      <c r="AM560" t="s">
        <v>24</v>
      </c>
      <c r="AN560" t="s">
        <v>41</v>
      </c>
    </row>
    <row r="561" spans="1:40" customFormat="1" ht="18" customHeight="1">
      <c r="A561">
        <v>555</v>
      </c>
      <c r="B561" t="s">
        <v>908</v>
      </c>
      <c r="C561" t="s">
        <v>169</v>
      </c>
      <c r="D561" t="s">
        <v>169</v>
      </c>
      <c r="F561" t="s">
        <v>2710</v>
      </c>
      <c r="G561">
        <v>2020</v>
      </c>
      <c r="H561" t="s">
        <v>2559</v>
      </c>
      <c r="I561" t="s">
        <v>1419</v>
      </c>
      <c r="J561" t="s">
        <v>1419</v>
      </c>
      <c r="K561" t="s">
        <v>179</v>
      </c>
      <c r="O561">
        <v>2.8</v>
      </c>
      <c r="P561">
        <v>1.1000000000000001</v>
      </c>
      <c r="Q561">
        <v>20</v>
      </c>
      <c r="R561" s="716">
        <v>670</v>
      </c>
      <c r="S561" s="716"/>
      <c r="U561">
        <v>2.2000000000000002</v>
      </c>
      <c r="V561">
        <v>0.7</v>
      </c>
      <c r="W561">
        <v>25</v>
      </c>
      <c r="Y561">
        <v>-0.65</v>
      </c>
      <c r="AA561">
        <v>1</v>
      </c>
      <c r="AB561">
        <v>-0.84</v>
      </c>
      <c r="AD561">
        <v>1</v>
      </c>
      <c r="AK561">
        <v>2</v>
      </c>
      <c r="AL561" t="s">
        <v>31</v>
      </c>
      <c r="AM561" t="s">
        <v>32</v>
      </c>
      <c r="AN561" t="s">
        <v>31</v>
      </c>
    </row>
    <row r="562" spans="1:40" customFormat="1" ht="18" customHeight="1">
      <c r="A562">
        <v>556</v>
      </c>
      <c r="B562" t="s">
        <v>908</v>
      </c>
      <c r="C562" t="s">
        <v>169</v>
      </c>
      <c r="D562" t="s">
        <v>169</v>
      </c>
      <c r="F562" t="s">
        <v>2710</v>
      </c>
      <c r="G562">
        <v>2020</v>
      </c>
      <c r="H562" t="s">
        <v>2560</v>
      </c>
      <c r="I562" t="s">
        <v>961</v>
      </c>
      <c r="J562" t="s">
        <v>961</v>
      </c>
      <c r="K562" t="s">
        <v>178</v>
      </c>
      <c r="O562">
        <v>21.5</v>
      </c>
      <c r="P562">
        <v>0.7</v>
      </c>
      <c r="Q562">
        <v>20</v>
      </c>
      <c r="R562" s="716">
        <v>670</v>
      </c>
      <c r="S562" s="716"/>
      <c r="U562">
        <v>21.4</v>
      </c>
      <c r="V562">
        <v>1</v>
      </c>
      <c r="W562">
        <v>25</v>
      </c>
      <c r="Y562">
        <v>-0.12</v>
      </c>
      <c r="AA562">
        <v>-1</v>
      </c>
      <c r="AB562">
        <v>0.1</v>
      </c>
      <c r="AD562">
        <v>1</v>
      </c>
      <c r="AK562">
        <v>2</v>
      </c>
      <c r="AL562" t="s">
        <v>31</v>
      </c>
      <c r="AM562" t="s">
        <v>32</v>
      </c>
      <c r="AN562" t="s">
        <v>31</v>
      </c>
    </row>
    <row r="563" spans="1:40" customFormat="1" ht="18" customHeight="1">
      <c r="A563">
        <v>557</v>
      </c>
      <c r="B563" t="s">
        <v>908</v>
      </c>
      <c r="C563" t="s">
        <v>169</v>
      </c>
      <c r="D563" t="s">
        <v>169</v>
      </c>
      <c r="F563" t="s">
        <v>2464</v>
      </c>
      <c r="G563">
        <v>2016</v>
      </c>
      <c r="H563" t="s">
        <v>170</v>
      </c>
      <c r="K563" t="s">
        <v>171</v>
      </c>
      <c r="O563">
        <v>24.4</v>
      </c>
      <c r="P563">
        <v>3.9</v>
      </c>
      <c r="Q563">
        <v>56</v>
      </c>
      <c r="R563" s="716">
        <v>657</v>
      </c>
      <c r="S563" s="716"/>
      <c r="U563">
        <v>26.1</v>
      </c>
      <c r="V563">
        <v>3.6</v>
      </c>
      <c r="W563">
        <v>53</v>
      </c>
      <c r="Y563">
        <v>0.45</v>
      </c>
      <c r="AA563">
        <v>-1</v>
      </c>
      <c r="AB563">
        <v>-0.47</v>
      </c>
      <c r="AD563">
        <v>1</v>
      </c>
      <c r="AK563">
        <v>1</v>
      </c>
      <c r="AL563" t="s">
        <v>48</v>
      </c>
      <c r="AM563" t="s">
        <v>24</v>
      </c>
      <c r="AN563" t="s">
        <v>41</v>
      </c>
    </row>
    <row r="564" spans="1:40" customFormat="1" ht="18" customHeight="1">
      <c r="A564">
        <v>558</v>
      </c>
      <c r="C564" t="s">
        <v>2135</v>
      </c>
      <c r="D564" t="s">
        <v>2135</v>
      </c>
      <c r="R564" s="716"/>
      <c r="S564" s="716"/>
      <c r="AD564">
        <v>0</v>
      </c>
    </row>
    <row r="565" spans="1:40" customFormat="1" ht="18" customHeight="1">
      <c r="A565">
        <v>559</v>
      </c>
      <c r="B565" t="s">
        <v>1353</v>
      </c>
      <c r="C565" t="s">
        <v>188</v>
      </c>
      <c r="D565" t="s">
        <v>188</v>
      </c>
      <c r="F565" t="s">
        <v>2162</v>
      </c>
      <c r="G565">
        <v>2015</v>
      </c>
      <c r="H565" t="s">
        <v>1737</v>
      </c>
      <c r="K565" t="s">
        <v>2137</v>
      </c>
      <c r="O565">
        <v>83.4</v>
      </c>
      <c r="P565">
        <v>8.5299999999999994</v>
      </c>
      <c r="Q565">
        <v>8</v>
      </c>
      <c r="R565" s="716" t="s">
        <v>1149</v>
      </c>
      <c r="S565" s="716" t="s">
        <v>1149</v>
      </c>
      <c r="U565">
        <v>99.6</v>
      </c>
      <c r="V565">
        <v>6.35</v>
      </c>
      <c r="W565">
        <v>42</v>
      </c>
      <c r="AA565">
        <v>-1</v>
      </c>
      <c r="AB565">
        <v>-2.5099999999999998</v>
      </c>
      <c r="AD565">
        <v>0</v>
      </c>
      <c r="AF565">
        <v>4.26</v>
      </c>
      <c r="AG565">
        <v>0.67</v>
      </c>
      <c r="AI565">
        <v>4.97</v>
      </c>
      <c r="AJ565">
        <v>0.9</v>
      </c>
      <c r="AK565" t="s">
        <v>1738</v>
      </c>
    </row>
    <row r="566" spans="1:40" customFormat="1" ht="18" customHeight="1">
      <c r="A566">
        <v>560</v>
      </c>
      <c r="B566" t="s">
        <v>1353</v>
      </c>
      <c r="C566" t="s">
        <v>188</v>
      </c>
      <c r="D566" t="s">
        <v>188</v>
      </c>
      <c r="F566" t="s">
        <v>2476</v>
      </c>
      <c r="G566">
        <v>2019</v>
      </c>
      <c r="H566" t="s">
        <v>1733</v>
      </c>
      <c r="K566" t="s">
        <v>2136</v>
      </c>
      <c r="M566" t="s">
        <v>1734</v>
      </c>
      <c r="O566">
        <v>95.2</v>
      </c>
      <c r="P566">
        <v>12.3</v>
      </c>
      <c r="Q566">
        <v>28</v>
      </c>
      <c r="R566" s="716">
        <v>528</v>
      </c>
      <c r="S566" s="716">
        <v>312</v>
      </c>
      <c r="U566">
        <v>92.7</v>
      </c>
      <c r="V566">
        <v>13.9</v>
      </c>
      <c r="W566">
        <v>21</v>
      </c>
      <c r="X566" t="s">
        <v>1149</v>
      </c>
      <c r="AA566">
        <v>-1</v>
      </c>
      <c r="AB566">
        <v>0.18</v>
      </c>
      <c r="AC566">
        <v>0.17</v>
      </c>
      <c r="AD566">
        <v>0</v>
      </c>
      <c r="AF566" t="s">
        <v>1149</v>
      </c>
    </row>
    <row r="567" spans="1:40" customFormat="1" ht="18" customHeight="1">
      <c r="A567">
        <v>561</v>
      </c>
      <c r="B567" t="s">
        <v>1353</v>
      </c>
      <c r="C567" t="s">
        <v>188</v>
      </c>
      <c r="D567" t="s">
        <v>188</v>
      </c>
      <c r="F567" t="s">
        <v>2477</v>
      </c>
      <c r="G567">
        <v>2000</v>
      </c>
      <c r="H567" t="s">
        <v>1735</v>
      </c>
      <c r="K567" t="s">
        <v>1736</v>
      </c>
      <c r="O567">
        <v>100</v>
      </c>
      <c r="P567">
        <v>14</v>
      </c>
      <c r="Q567">
        <v>42</v>
      </c>
      <c r="R567" s="716">
        <v>894</v>
      </c>
      <c r="S567" s="716">
        <v>360</v>
      </c>
      <c r="U567">
        <v>104</v>
      </c>
      <c r="V567">
        <v>12</v>
      </c>
      <c r="W567">
        <v>42</v>
      </c>
      <c r="X567" t="s">
        <v>1149</v>
      </c>
      <c r="AA567">
        <v>-1</v>
      </c>
      <c r="AB567">
        <v>-0.33</v>
      </c>
      <c r="AC567">
        <v>-0.33</v>
      </c>
      <c r="AD567">
        <v>0</v>
      </c>
      <c r="AF567" t="s">
        <v>1149</v>
      </c>
    </row>
    <row r="568" spans="1:40" customFormat="1" ht="18" customHeight="1">
      <c r="A568">
        <v>562</v>
      </c>
      <c r="R568" s="716"/>
      <c r="S568" s="716"/>
      <c r="AD568">
        <v>0</v>
      </c>
    </row>
    <row r="569" spans="1:40" customFormat="1" ht="18" customHeight="1">
      <c r="A569">
        <v>563</v>
      </c>
      <c r="B569" t="s">
        <v>1353</v>
      </c>
      <c r="C569" t="s">
        <v>977</v>
      </c>
      <c r="D569" t="s">
        <v>977</v>
      </c>
      <c r="F569" t="s">
        <v>1932</v>
      </c>
      <c r="G569">
        <v>2023</v>
      </c>
      <c r="H569" t="s">
        <v>25</v>
      </c>
      <c r="K569" t="s">
        <v>1632</v>
      </c>
      <c r="L569" t="s">
        <v>1633</v>
      </c>
      <c r="M569" t="s">
        <v>1631</v>
      </c>
      <c r="N569" t="s">
        <v>1740</v>
      </c>
      <c r="O569">
        <v>14.4</v>
      </c>
      <c r="P569">
        <v>3.14</v>
      </c>
      <c r="Q569">
        <v>27</v>
      </c>
      <c r="R569" s="716"/>
      <c r="S569" s="716"/>
      <c r="U569">
        <v>14.7</v>
      </c>
      <c r="V569">
        <v>3.14</v>
      </c>
      <c r="W569">
        <v>28</v>
      </c>
      <c r="AA569">
        <v>-1</v>
      </c>
      <c r="AD569">
        <v>0</v>
      </c>
      <c r="AF569">
        <v>11.1</v>
      </c>
      <c r="AG569">
        <v>2.98</v>
      </c>
      <c r="AI569">
        <v>9.82</v>
      </c>
      <c r="AJ569">
        <v>2.13</v>
      </c>
    </row>
    <row r="570" spans="1:40" customFormat="1" ht="18" customHeight="1">
      <c r="A570">
        <v>564</v>
      </c>
      <c r="B570" t="s">
        <v>1353</v>
      </c>
      <c r="C570" t="s">
        <v>977</v>
      </c>
      <c r="D570" t="s">
        <v>977</v>
      </c>
      <c r="F570" t="s">
        <v>1932</v>
      </c>
      <c r="G570">
        <v>2023</v>
      </c>
      <c r="H570" t="s">
        <v>25</v>
      </c>
      <c r="K570" t="s">
        <v>1632</v>
      </c>
      <c r="L570" t="s">
        <v>1633</v>
      </c>
      <c r="M570" t="s">
        <v>1631</v>
      </c>
      <c r="N570" t="s">
        <v>1740</v>
      </c>
      <c r="O570">
        <v>14.4</v>
      </c>
      <c r="P570">
        <v>3.14</v>
      </c>
      <c r="Q570">
        <v>27</v>
      </c>
      <c r="R570" s="716"/>
      <c r="S570" s="716"/>
      <c r="U570">
        <v>14.7</v>
      </c>
      <c r="V570">
        <v>3.14</v>
      </c>
      <c r="W570">
        <v>28</v>
      </c>
      <c r="X570">
        <v>28</v>
      </c>
      <c r="AA570">
        <v>-1</v>
      </c>
      <c r="AB570">
        <v>-0.09</v>
      </c>
      <c r="AD570">
        <v>0</v>
      </c>
      <c r="AF570">
        <v>11.1</v>
      </c>
      <c r="AG570">
        <v>2.98</v>
      </c>
      <c r="AI570">
        <v>9.82</v>
      </c>
      <c r="AJ570">
        <v>2.13</v>
      </c>
    </row>
    <row r="571" spans="1:40" customFormat="1" ht="18" customHeight="1">
      <c r="A571">
        <v>565</v>
      </c>
      <c r="B571" t="s">
        <v>1353</v>
      </c>
      <c r="C571" t="s">
        <v>977</v>
      </c>
      <c r="D571" t="s">
        <v>977</v>
      </c>
      <c r="F571" t="s">
        <v>1932</v>
      </c>
      <c r="G571">
        <v>2023</v>
      </c>
      <c r="H571" t="s">
        <v>1201</v>
      </c>
      <c r="K571" t="s">
        <v>1629</v>
      </c>
      <c r="L571" t="s">
        <v>1630</v>
      </c>
      <c r="M571" t="s">
        <v>1631</v>
      </c>
      <c r="N571" t="s">
        <v>1740</v>
      </c>
      <c r="O571">
        <v>21.7</v>
      </c>
      <c r="P571">
        <v>10.7</v>
      </c>
      <c r="Q571">
        <v>27</v>
      </c>
      <c r="R571" s="716"/>
      <c r="S571" s="716"/>
      <c r="U571">
        <v>24.2</v>
      </c>
      <c r="V571">
        <v>8.4600000000000009</v>
      </c>
      <c r="W571">
        <v>28</v>
      </c>
      <c r="AA571">
        <v>-1</v>
      </c>
      <c r="AB571">
        <v>-0.28999999999999998</v>
      </c>
      <c r="AC571">
        <v>-0.31</v>
      </c>
      <c r="AD571">
        <v>0</v>
      </c>
      <c r="AF571">
        <v>11.1</v>
      </c>
      <c r="AG571">
        <v>2.98</v>
      </c>
      <c r="AI571">
        <v>9.82</v>
      </c>
      <c r="AJ571">
        <v>2.13</v>
      </c>
    </row>
    <row r="572" spans="1:40" customFormat="1" ht="18" customHeight="1">
      <c r="A572">
        <v>566</v>
      </c>
      <c r="B572" t="s">
        <v>1353</v>
      </c>
      <c r="C572" t="s">
        <v>2467</v>
      </c>
      <c r="D572" t="s">
        <v>2467</v>
      </c>
      <c r="F572" t="s">
        <v>1932</v>
      </c>
      <c r="G572">
        <v>2023</v>
      </c>
      <c r="H572" t="s">
        <v>381</v>
      </c>
      <c r="K572" t="s">
        <v>1638</v>
      </c>
      <c r="L572" t="s">
        <v>1639</v>
      </c>
      <c r="M572" t="s">
        <v>1631</v>
      </c>
      <c r="N572" t="s">
        <v>1740</v>
      </c>
      <c r="O572">
        <v>4.0999999999999996</v>
      </c>
      <c r="P572">
        <v>1.8</v>
      </c>
      <c r="Q572">
        <v>27</v>
      </c>
      <c r="R572" s="716"/>
      <c r="S572" s="716"/>
      <c r="U572">
        <v>4.0999999999999996</v>
      </c>
      <c r="V572">
        <v>1.88</v>
      </c>
      <c r="W572">
        <v>28</v>
      </c>
      <c r="X572">
        <v>28</v>
      </c>
      <c r="AA572">
        <v>-1</v>
      </c>
      <c r="AB572">
        <v>0.02</v>
      </c>
      <c r="AD572">
        <v>0</v>
      </c>
      <c r="AF572">
        <v>11.1</v>
      </c>
      <c r="AG572">
        <v>2.98</v>
      </c>
      <c r="AI572">
        <v>9.82</v>
      </c>
      <c r="AJ572">
        <v>2.13</v>
      </c>
    </row>
    <row r="573" spans="1:40" customFormat="1" ht="18" customHeight="1">
      <c r="A573">
        <v>567</v>
      </c>
      <c r="B573" t="s">
        <v>1353</v>
      </c>
      <c r="C573" t="s">
        <v>89</v>
      </c>
      <c r="D573" t="s">
        <v>89</v>
      </c>
      <c r="F573" t="s">
        <v>1932</v>
      </c>
      <c r="G573">
        <v>2023</v>
      </c>
      <c r="H573" t="s">
        <v>92</v>
      </c>
      <c r="K573" t="s">
        <v>315</v>
      </c>
      <c r="L573" t="s">
        <v>1700</v>
      </c>
      <c r="M573" t="s">
        <v>1631</v>
      </c>
      <c r="N573" t="s">
        <v>1740</v>
      </c>
      <c r="O573">
        <v>3.5</v>
      </c>
      <c r="P573">
        <v>0.8</v>
      </c>
      <c r="Q573">
        <v>27</v>
      </c>
      <c r="R573" s="716"/>
      <c r="S573" s="716"/>
      <c r="U573">
        <v>3.8</v>
      </c>
      <c r="V573">
        <v>1.23</v>
      </c>
      <c r="W573">
        <v>28</v>
      </c>
      <c r="X573" t="s">
        <v>1149</v>
      </c>
      <c r="AA573">
        <v>-1</v>
      </c>
      <c r="AB573">
        <v>-0.25</v>
      </c>
      <c r="AD573">
        <v>0</v>
      </c>
      <c r="AF573">
        <v>11.1</v>
      </c>
      <c r="AG573">
        <v>2.98</v>
      </c>
      <c r="AI573">
        <v>9.82</v>
      </c>
      <c r="AJ573">
        <v>2.13</v>
      </c>
    </row>
    <row r="574" spans="1:40" customFormat="1" ht="18" customHeight="1">
      <c r="A574">
        <v>568</v>
      </c>
      <c r="B574" t="s">
        <v>1353</v>
      </c>
      <c r="C574" t="s">
        <v>1548</v>
      </c>
      <c r="D574" t="s">
        <v>1548</v>
      </c>
      <c r="F574" t="s">
        <v>1932</v>
      </c>
      <c r="G574">
        <v>2023</v>
      </c>
      <c r="H574" t="s">
        <v>1661</v>
      </c>
      <c r="K574" t="s">
        <v>60</v>
      </c>
      <c r="L574" t="s">
        <v>1660</v>
      </c>
      <c r="M574" t="s">
        <v>1631</v>
      </c>
      <c r="N574" t="s">
        <v>1740</v>
      </c>
      <c r="O574">
        <v>1</v>
      </c>
      <c r="P574">
        <v>0.29799999999999999</v>
      </c>
      <c r="Q574">
        <v>27</v>
      </c>
      <c r="R574" s="716"/>
      <c r="S574" s="716"/>
      <c r="U574">
        <v>1</v>
      </c>
      <c r="V574">
        <v>0.47</v>
      </c>
      <c r="W574">
        <v>28</v>
      </c>
      <c r="X574" t="s">
        <v>1149</v>
      </c>
      <c r="AA574">
        <v>-1</v>
      </c>
      <c r="AB574">
        <v>0</v>
      </c>
      <c r="AD574">
        <v>0</v>
      </c>
      <c r="AF574">
        <v>11.1</v>
      </c>
      <c r="AG574">
        <v>2.98</v>
      </c>
      <c r="AI574">
        <v>9.82</v>
      </c>
      <c r="AJ574">
        <v>2.13</v>
      </c>
    </row>
    <row r="575" spans="1:40" customFormat="1" ht="18" customHeight="1">
      <c r="A575">
        <v>569</v>
      </c>
      <c r="B575" t="s">
        <v>1353</v>
      </c>
      <c r="C575" t="s">
        <v>1548</v>
      </c>
      <c r="D575" t="s">
        <v>1548</v>
      </c>
      <c r="F575" t="s">
        <v>1932</v>
      </c>
      <c r="G575">
        <v>2023</v>
      </c>
      <c r="H575" t="s">
        <v>1659</v>
      </c>
      <c r="K575" t="s">
        <v>1262</v>
      </c>
      <c r="L575" t="s">
        <v>1660</v>
      </c>
      <c r="M575" t="s">
        <v>1631</v>
      </c>
      <c r="N575" t="s">
        <v>1741</v>
      </c>
      <c r="O575">
        <v>2.4</v>
      </c>
      <c r="P575">
        <v>4.88</v>
      </c>
      <c r="Q575">
        <v>27</v>
      </c>
      <c r="R575" s="716"/>
      <c r="S575" s="716"/>
      <c r="U575">
        <v>1</v>
      </c>
      <c r="V575">
        <v>0.19</v>
      </c>
      <c r="W575">
        <v>28</v>
      </c>
      <c r="X575" t="s">
        <v>1149</v>
      </c>
      <c r="AA575">
        <v>-1</v>
      </c>
      <c r="AB575">
        <v>7.26</v>
      </c>
      <c r="AD575">
        <v>0</v>
      </c>
      <c r="AF575">
        <v>11.1</v>
      </c>
      <c r="AG575">
        <v>2.98</v>
      </c>
      <c r="AI575">
        <v>9.82</v>
      </c>
      <c r="AJ575">
        <v>2.13</v>
      </c>
    </row>
    <row r="576" spans="1:40" customFormat="1" ht="18" customHeight="1">
      <c r="A576">
        <v>570</v>
      </c>
      <c r="B576" t="s">
        <v>1353</v>
      </c>
      <c r="C576" t="s">
        <v>1548</v>
      </c>
      <c r="D576" t="s">
        <v>1548</v>
      </c>
      <c r="F576" t="s">
        <v>1932</v>
      </c>
      <c r="G576">
        <v>2023</v>
      </c>
      <c r="H576" t="s">
        <v>1662</v>
      </c>
      <c r="K576" t="s">
        <v>1663</v>
      </c>
      <c r="L576" t="s">
        <v>1660</v>
      </c>
      <c r="M576" t="s">
        <v>1631</v>
      </c>
      <c r="N576" t="s">
        <v>1740</v>
      </c>
      <c r="O576">
        <v>0.6</v>
      </c>
      <c r="P576">
        <v>0.186</v>
      </c>
      <c r="Q576">
        <v>27</v>
      </c>
      <c r="R576" s="716"/>
      <c r="S576" s="716"/>
      <c r="U576">
        <v>0.7</v>
      </c>
      <c r="V576">
        <v>0.19</v>
      </c>
      <c r="W576">
        <v>28</v>
      </c>
      <c r="X576" t="s">
        <v>1149</v>
      </c>
      <c r="AA576">
        <v>-1</v>
      </c>
      <c r="AB576">
        <v>-0.21</v>
      </c>
      <c r="AD576">
        <v>0</v>
      </c>
      <c r="AF576">
        <v>11.1</v>
      </c>
      <c r="AG576">
        <v>2.98</v>
      </c>
      <c r="AI576">
        <v>9.82</v>
      </c>
      <c r="AJ576">
        <v>2.13</v>
      </c>
    </row>
    <row r="577" spans="1:36" customFormat="1" ht="18" customHeight="1">
      <c r="A577">
        <v>571</v>
      </c>
      <c r="B577" t="s">
        <v>1353</v>
      </c>
      <c r="C577" t="s">
        <v>1075</v>
      </c>
      <c r="D577" t="s">
        <v>1075</v>
      </c>
      <c r="F577" t="s">
        <v>1932</v>
      </c>
      <c r="G577">
        <v>2023</v>
      </c>
      <c r="H577" t="s">
        <v>1122</v>
      </c>
      <c r="K577" t="s">
        <v>1631</v>
      </c>
      <c r="L577" t="s">
        <v>1702</v>
      </c>
      <c r="N577" t="s">
        <v>1740</v>
      </c>
      <c r="O577">
        <v>6.1</v>
      </c>
      <c r="P577">
        <v>2.5499999999999998</v>
      </c>
      <c r="Q577">
        <v>27</v>
      </c>
      <c r="R577" s="716"/>
      <c r="S577" s="716"/>
      <c r="U577">
        <v>6.1</v>
      </c>
      <c r="V577">
        <v>1.96</v>
      </c>
      <c r="W577">
        <v>28</v>
      </c>
      <c r="X577" t="s">
        <v>1149</v>
      </c>
      <c r="AA577">
        <v>-1</v>
      </c>
      <c r="AB577">
        <v>-0.02</v>
      </c>
      <c r="AD577">
        <v>0</v>
      </c>
      <c r="AF577">
        <v>11.1</v>
      </c>
      <c r="AG577">
        <v>2.98</v>
      </c>
      <c r="AI577">
        <v>9.82</v>
      </c>
      <c r="AJ577">
        <v>2.13</v>
      </c>
    </row>
    <row r="578" spans="1:36" customFormat="1" ht="18" customHeight="1">
      <c r="A578">
        <v>572</v>
      </c>
      <c r="B578" t="s">
        <v>1353</v>
      </c>
      <c r="C578" t="s">
        <v>2468</v>
      </c>
      <c r="D578" t="s">
        <v>2468</v>
      </c>
      <c r="F578" t="s">
        <v>1932</v>
      </c>
      <c r="G578">
        <v>2023</v>
      </c>
      <c r="H578" t="s">
        <v>1686</v>
      </c>
      <c r="K578" t="s">
        <v>1685</v>
      </c>
      <c r="M578" t="s">
        <v>1631</v>
      </c>
      <c r="N578" t="s">
        <v>1740</v>
      </c>
      <c r="O578">
        <v>31.3</v>
      </c>
      <c r="P578">
        <v>6.02</v>
      </c>
      <c r="Q578">
        <v>27</v>
      </c>
      <c r="R578" s="716"/>
      <c r="S578" s="716"/>
      <c r="U578">
        <v>34.1</v>
      </c>
      <c r="V578">
        <v>3.56</v>
      </c>
      <c r="W578">
        <v>28</v>
      </c>
      <c r="AA578">
        <v>-1</v>
      </c>
      <c r="AB578">
        <v>-0.76</v>
      </c>
      <c r="AC578">
        <v>-0.78</v>
      </c>
      <c r="AD578">
        <v>0</v>
      </c>
      <c r="AF578">
        <v>11.1</v>
      </c>
      <c r="AG578">
        <v>2.98</v>
      </c>
      <c r="AI578">
        <v>9.82</v>
      </c>
      <c r="AJ578">
        <v>2.13</v>
      </c>
    </row>
    <row r="579" spans="1:36" customFormat="1" ht="18" customHeight="1">
      <c r="A579">
        <v>573</v>
      </c>
      <c r="R579" s="716"/>
      <c r="S579" s="716"/>
      <c r="AD579">
        <v>0</v>
      </c>
    </row>
    <row r="580" spans="1:36" customFormat="1" ht="18" customHeight="1">
      <c r="A580">
        <v>574</v>
      </c>
      <c r="B580" t="s">
        <v>908</v>
      </c>
      <c r="C580" t="s">
        <v>139</v>
      </c>
      <c r="D580" t="s">
        <v>139</v>
      </c>
      <c r="E580" t="s">
        <v>2567</v>
      </c>
      <c r="F580" t="s">
        <v>2472</v>
      </c>
      <c r="G580">
        <v>2023</v>
      </c>
      <c r="H580" t="s">
        <v>1744</v>
      </c>
      <c r="I580" t="s">
        <v>961</v>
      </c>
      <c r="J580" t="s">
        <v>961</v>
      </c>
      <c r="K580" t="s">
        <v>1719</v>
      </c>
      <c r="O580">
        <v>60.7</v>
      </c>
      <c r="P580">
        <v>6.9</v>
      </c>
      <c r="Q580">
        <v>7</v>
      </c>
      <c r="R580" s="716">
        <v>1311</v>
      </c>
      <c r="S580" s="716">
        <v>278</v>
      </c>
      <c r="T580" t="s">
        <v>1622</v>
      </c>
      <c r="U580">
        <v>64</v>
      </c>
      <c r="V580">
        <v>0</v>
      </c>
      <c r="W580">
        <v>7</v>
      </c>
      <c r="X580" t="s">
        <v>1149</v>
      </c>
      <c r="AA580">
        <v>-1</v>
      </c>
      <c r="AB580" t="s">
        <v>23</v>
      </c>
      <c r="AD580">
        <v>0</v>
      </c>
      <c r="AF580" t="s">
        <v>1149</v>
      </c>
    </row>
    <row r="581" spans="1:36" customFormat="1" ht="18" customHeight="1">
      <c r="A581">
        <v>575</v>
      </c>
      <c r="B581" t="s">
        <v>908</v>
      </c>
      <c r="C581" t="s">
        <v>977</v>
      </c>
      <c r="D581" t="s">
        <v>977</v>
      </c>
      <c r="F581" t="s">
        <v>2472</v>
      </c>
      <c r="G581">
        <v>2023</v>
      </c>
      <c r="H581" t="s">
        <v>27</v>
      </c>
      <c r="K581" t="s">
        <v>1638</v>
      </c>
      <c r="O581">
        <v>51.4</v>
      </c>
      <c r="P581">
        <v>9.6</v>
      </c>
      <c r="Q581">
        <v>7</v>
      </c>
      <c r="R581" s="716">
        <v>1311</v>
      </c>
      <c r="S581" s="716">
        <v>278</v>
      </c>
      <c r="T581" t="s">
        <v>1622</v>
      </c>
      <c r="U581">
        <v>69</v>
      </c>
      <c r="V581">
        <v>2.31</v>
      </c>
      <c r="W581">
        <v>7</v>
      </c>
      <c r="X581">
        <v>7</v>
      </c>
      <c r="AA581">
        <v>-1</v>
      </c>
      <c r="AB581">
        <v>-7.13</v>
      </c>
      <c r="AD581">
        <v>0</v>
      </c>
      <c r="AF581" t="s">
        <v>1149</v>
      </c>
      <c r="AJ581" t="s">
        <v>1623</v>
      </c>
    </row>
    <row r="582" spans="1:36" customFormat="1" ht="18" customHeight="1">
      <c r="A582">
        <v>576</v>
      </c>
      <c r="B582" t="s">
        <v>908</v>
      </c>
      <c r="C582" t="s">
        <v>977</v>
      </c>
      <c r="D582" t="s">
        <v>977</v>
      </c>
      <c r="F582" t="s">
        <v>2472</v>
      </c>
      <c r="G582">
        <v>2023</v>
      </c>
      <c r="H582" t="s">
        <v>1201</v>
      </c>
      <c r="K582" t="s">
        <v>30</v>
      </c>
      <c r="N582" t="s">
        <v>1625</v>
      </c>
      <c r="O582">
        <v>24.6</v>
      </c>
      <c r="P582">
        <v>12.8</v>
      </c>
      <c r="Q582">
        <v>7</v>
      </c>
      <c r="R582" s="716">
        <v>1311</v>
      </c>
      <c r="S582" s="716">
        <v>278</v>
      </c>
      <c r="T582" t="s">
        <v>1622</v>
      </c>
      <c r="U582">
        <v>54.3</v>
      </c>
      <c r="V582">
        <v>8.9</v>
      </c>
      <c r="W582">
        <v>7</v>
      </c>
      <c r="X582">
        <v>7</v>
      </c>
      <c r="AA582">
        <v>-1</v>
      </c>
      <c r="AB582">
        <v>-2.69</v>
      </c>
      <c r="AD582">
        <v>0</v>
      </c>
      <c r="AF582" t="s">
        <v>1149</v>
      </c>
      <c r="AJ582" t="s">
        <v>1626</v>
      </c>
    </row>
    <row r="583" spans="1:36" customFormat="1" ht="18" customHeight="1">
      <c r="A583">
        <v>577</v>
      </c>
      <c r="B583" t="s">
        <v>908</v>
      </c>
      <c r="C583" t="s">
        <v>977</v>
      </c>
      <c r="D583" t="s">
        <v>977</v>
      </c>
      <c r="F583" t="s">
        <v>2472</v>
      </c>
      <c r="G583">
        <v>2023</v>
      </c>
      <c r="H583" t="s">
        <v>49</v>
      </c>
      <c r="K583" t="s">
        <v>42</v>
      </c>
      <c r="L583" t="s">
        <v>1634</v>
      </c>
      <c r="O583">
        <v>42.6</v>
      </c>
      <c r="P583">
        <v>16.100000000000001</v>
      </c>
      <c r="Q583">
        <v>7</v>
      </c>
      <c r="R583" s="716">
        <v>1311</v>
      </c>
      <c r="S583" s="716">
        <v>278</v>
      </c>
      <c r="T583" t="s">
        <v>1622</v>
      </c>
      <c r="U583">
        <v>51.4</v>
      </c>
      <c r="V583">
        <v>6.8</v>
      </c>
      <c r="W583">
        <v>7</v>
      </c>
      <c r="X583" t="s">
        <v>1149</v>
      </c>
      <c r="AA583">
        <v>-1</v>
      </c>
      <c r="AB583">
        <v>-1.21</v>
      </c>
      <c r="AD583">
        <v>0</v>
      </c>
      <c r="AF583" t="s">
        <v>1149</v>
      </c>
      <c r="AJ583" t="s">
        <v>1635</v>
      </c>
    </row>
    <row r="584" spans="1:36" customFormat="1" ht="18" customHeight="1">
      <c r="A584">
        <v>578</v>
      </c>
      <c r="B584" t="s">
        <v>908</v>
      </c>
      <c r="C584" t="s">
        <v>1548</v>
      </c>
      <c r="D584" t="s">
        <v>1548</v>
      </c>
      <c r="F584" t="s">
        <v>2472</v>
      </c>
      <c r="G584">
        <v>2023</v>
      </c>
      <c r="H584" t="s">
        <v>1648</v>
      </c>
      <c r="K584" t="s">
        <v>1649</v>
      </c>
      <c r="O584">
        <v>8.9</v>
      </c>
      <c r="P584">
        <v>2</v>
      </c>
      <c r="Q584">
        <v>7</v>
      </c>
      <c r="R584" s="716">
        <v>1311</v>
      </c>
      <c r="S584" s="716">
        <v>278</v>
      </c>
      <c r="T584" t="s">
        <v>1622</v>
      </c>
      <c r="U584">
        <v>10</v>
      </c>
      <c r="V584">
        <v>1.8</v>
      </c>
      <c r="W584">
        <v>7</v>
      </c>
      <c r="X584" t="s">
        <v>1742</v>
      </c>
      <c r="AA584">
        <v>-1</v>
      </c>
      <c r="AB584">
        <v>-0.56999999999999995</v>
      </c>
      <c r="AD584">
        <v>0</v>
      </c>
      <c r="AF584">
        <v>11.18</v>
      </c>
      <c r="AG584">
        <v>3.4</v>
      </c>
      <c r="AI584">
        <v>10.29</v>
      </c>
      <c r="AJ584">
        <v>3.1</v>
      </c>
    </row>
    <row r="585" spans="1:36" customFormat="1" ht="18" customHeight="1">
      <c r="A585">
        <v>579</v>
      </c>
      <c r="B585" t="s">
        <v>908</v>
      </c>
      <c r="C585" t="s">
        <v>79</v>
      </c>
      <c r="D585" t="s">
        <v>79</v>
      </c>
      <c r="F585" t="s">
        <v>2472</v>
      </c>
      <c r="G585">
        <v>2023</v>
      </c>
      <c r="H585" t="s">
        <v>1687</v>
      </c>
      <c r="K585" t="s">
        <v>1688</v>
      </c>
      <c r="O585">
        <v>2.2999999999999998</v>
      </c>
      <c r="P585">
        <v>3.4</v>
      </c>
      <c r="Q585">
        <v>7</v>
      </c>
      <c r="R585" s="716">
        <v>1311</v>
      </c>
      <c r="S585" s="716">
        <v>278</v>
      </c>
      <c r="T585" t="s">
        <v>1622</v>
      </c>
      <c r="U585">
        <v>5</v>
      </c>
      <c r="V585">
        <v>3.1</v>
      </c>
      <c r="W585">
        <v>7</v>
      </c>
      <c r="X585" t="s">
        <v>1743</v>
      </c>
      <c r="Y585">
        <v>1.123051947</v>
      </c>
      <c r="AA585">
        <v>-1</v>
      </c>
      <c r="AB585">
        <v>-0.82</v>
      </c>
      <c r="AD585">
        <v>0</v>
      </c>
      <c r="AF585" t="s">
        <v>1149</v>
      </c>
    </row>
    <row r="586" spans="1:36" customFormat="1" ht="18" customHeight="1">
      <c r="A586">
        <v>580</v>
      </c>
      <c r="B586" t="s">
        <v>908</v>
      </c>
      <c r="C586" t="s">
        <v>1169</v>
      </c>
      <c r="D586" t="s">
        <v>1169</v>
      </c>
      <c r="F586" t="s">
        <v>2472</v>
      </c>
      <c r="G586">
        <v>2023</v>
      </c>
      <c r="H586" t="s">
        <v>2513</v>
      </c>
      <c r="L586" t="s">
        <v>1726</v>
      </c>
      <c r="O586">
        <v>123.3</v>
      </c>
      <c r="P586">
        <v>17.100000000000001</v>
      </c>
      <c r="Q586">
        <v>7</v>
      </c>
      <c r="R586" s="716">
        <v>1311</v>
      </c>
      <c r="S586" s="716">
        <v>278</v>
      </c>
      <c r="T586" t="s">
        <v>1622</v>
      </c>
      <c r="U586">
        <v>146.30000000000001</v>
      </c>
      <c r="V586">
        <v>15</v>
      </c>
      <c r="W586">
        <v>7</v>
      </c>
      <c r="X586" t="s">
        <v>1149</v>
      </c>
      <c r="AA586">
        <v>-1</v>
      </c>
      <c r="AB586">
        <v>-1.44</v>
      </c>
      <c r="AD586">
        <v>0</v>
      </c>
      <c r="AF586" t="s">
        <v>1149</v>
      </c>
    </row>
    <row r="587" spans="1:36" customFormat="1" ht="18" customHeight="1">
      <c r="A587">
        <v>581</v>
      </c>
      <c r="B587" t="s">
        <v>908</v>
      </c>
      <c r="C587" t="s">
        <v>1169</v>
      </c>
      <c r="D587" t="s">
        <v>1169</v>
      </c>
      <c r="F587" t="s">
        <v>2472</v>
      </c>
      <c r="G587">
        <v>2023</v>
      </c>
      <c r="H587" t="s">
        <v>2561</v>
      </c>
      <c r="L587" t="s">
        <v>1725</v>
      </c>
      <c r="O587">
        <v>39.6</v>
      </c>
      <c r="P587">
        <v>0.5</v>
      </c>
      <c r="Q587">
        <v>7</v>
      </c>
      <c r="R587" s="716">
        <v>1311</v>
      </c>
      <c r="S587" s="716">
        <v>278</v>
      </c>
      <c r="T587" t="s">
        <v>1622</v>
      </c>
      <c r="U587">
        <v>40</v>
      </c>
      <c r="V587">
        <v>0.5</v>
      </c>
      <c r="W587">
        <v>7</v>
      </c>
      <c r="X587" t="s">
        <v>1748</v>
      </c>
      <c r="AA587">
        <v>-1</v>
      </c>
      <c r="AB587">
        <v>-0.75</v>
      </c>
      <c r="AD587">
        <v>0</v>
      </c>
      <c r="AF587" t="s">
        <v>1149</v>
      </c>
    </row>
    <row r="588" spans="1:36" customFormat="1" ht="18" customHeight="1">
      <c r="A588">
        <v>582</v>
      </c>
      <c r="B588" t="s">
        <v>908</v>
      </c>
      <c r="C588" t="s">
        <v>1169</v>
      </c>
      <c r="D588" t="s">
        <v>1169</v>
      </c>
      <c r="F588" t="s">
        <v>2472</v>
      </c>
      <c r="G588">
        <v>2023</v>
      </c>
      <c r="H588" t="s">
        <v>167</v>
      </c>
      <c r="K588" t="s">
        <v>1731</v>
      </c>
      <c r="O588">
        <v>29.1</v>
      </c>
      <c r="P588">
        <v>1.6</v>
      </c>
      <c r="Q588">
        <v>7</v>
      </c>
      <c r="R588" s="716">
        <v>1311</v>
      </c>
      <c r="S588" s="716">
        <v>278</v>
      </c>
      <c r="T588" t="s">
        <v>1622</v>
      </c>
      <c r="U588">
        <v>30</v>
      </c>
      <c r="V588">
        <v>0</v>
      </c>
      <c r="W588">
        <v>7</v>
      </c>
      <c r="X588" t="s">
        <v>1149</v>
      </c>
      <c r="AA588">
        <v>-1</v>
      </c>
      <c r="AB588">
        <v>-0.55000000000000004</v>
      </c>
      <c r="AD588">
        <v>0</v>
      </c>
      <c r="AF588" t="s">
        <v>1149</v>
      </c>
    </row>
    <row r="589" spans="1:36" customFormat="1" ht="18" customHeight="1">
      <c r="A589">
        <v>583</v>
      </c>
      <c r="B589" t="s">
        <v>908</v>
      </c>
      <c r="C589" t="s">
        <v>1169</v>
      </c>
      <c r="D589" t="s">
        <v>1169</v>
      </c>
      <c r="F589" t="s">
        <v>2472</v>
      </c>
      <c r="G589">
        <v>2023</v>
      </c>
      <c r="H589" t="s">
        <v>2517</v>
      </c>
      <c r="I589" t="s">
        <v>961</v>
      </c>
      <c r="L589" t="s">
        <v>1724</v>
      </c>
      <c r="O589">
        <v>39.6</v>
      </c>
      <c r="P589">
        <v>0.5</v>
      </c>
      <c r="Q589">
        <v>7</v>
      </c>
      <c r="R589" s="716">
        <v>1311</v>
      </c>
      <c r="S589" s="716">
        <v>278</v>
      </c>
      <c r="T589" t="s">
        <v>1622</v>
      </c>
      <c r="U589">
        <v>40</v>
      </c>
      <c r="V589">
        <v>0.32</v>
      </c>
      <c r="W589">
        <v>7</v>
      </c>
      <c r="X589" t="s">
        <v>1747</v>
      </c>
      <c r="AA589">
        <v>-1</v>
      </c>
      <c r="AB589">
        <v>-1.17</v>
      </c>
      <c r="AD589">
        <v>0</v>
      </c>
      <c r="AF589" t="s">
        <v>1149</v>
      </c>
    </row>
    <row r="590" spans="1:36" customFormat="1" ht="18" customHeight="1">
      <c r="A590">
        <v>584</v>
      </c>
      <c r="B590" t="s">
        <v>908</v>
      </c>
      <c r="C590" t="s">
        <v>124</v>
      </c>
      <c r="D590" t="s">
        <v>124</v>
      </c>
      <c r="F590" t="s">
        <v>2472</v>
      </c>
      <c r="G590">
        <v>2023</v>
      </c>
      <c r="H590" t="s">
        <v>128</v>
      </c>
      <c r="I590" t="s">
        <v>1419</v>
      </c>
      <c r="K590" t="s">
        <v>1320</v>
      </c>
      <c r="O590">
        <v>664</v>
      </c>
      <c r="P590">
        <v>418</v>
      </c>
      <c r="Q590">
        <v>7</v>
      </c>
      <c r="R590" s="716">
        <v>1311</v>
      </c>
      <c r="S590" s="716">
        <v>278</v>
      </c>
      <c r="T590" t="s">
        <v>1622</v>
      </c>
      <c r="U590">
        <v>287</v>
      </c>
      <c r="V590">
        <v>20</v>
      </c>
      <c r="W590">
        <v>7</v>
      </c>
      <c r="X590" t="s">
        <v>1149</v>
      </c>
      <c r="AA590">
        <v>1</v>
      </c>
      <c r="AB590">
        <v>-17.649999999999999</v>
      </c>
      <c r="AC590">
        <v>-1.1927195349999999</v>
      </c>
      <c r="AD590">
        <v>0</v>
      </c>
      <c r="AF590" t="s">
        <v>1149</v>
      </c>
    </row>
    <row r="591" spans="1:36" customFormat="1" ht="18" customHeight="1">
      <c r="A591">
        <v>585</v>
      </c>
      <c r="B591" t="s">
        <v>908</v>
      </c>
      <c r="C591" t="s">
        <v>2468</v>
      </c>
      <c r="D591" t="s">
        <v>2468</v>
      </c>
      <c r="F591" t="s">
        <v>2472</v>
      </c>
      <c r="G591">
        <v>2023</v>
      </c>
      <c r="H591" t="s">
        <v>1683</v>
      </c>
      <c r="I591" t="s">
        <v>1419</v>
      </c>
      <c r="K591" t="s">
        <v>1320</v>
      </c>
      <c r="O591">
        <v>526.1</v>
      </c>
      <c r="P591">
        <v>78.400000000000006</v>
      </c>
      <c r="Q591">
        <v>7</v>
      </c>
      <c r="R591" s="716">
        <v>1311</v>
      </c>
      <c r="S591" s="716">
        <v>278</v>
      </c>
      <c r="T591" t="s">
        <v>1622</v>
      </c>
      <c r="U591">
        <v>332.7</v>
      </c>
      <c r="V591">
        <v>22.2</v>
      </c>
      <c r="W591">
        <v>7</v>
      </c>
      <c r="X591" t="s">
        <v>1149</v>
      </c>
      <c r="Y591">
        <v>-3.36</v>
      </c>
      <c r="AA591">
        <v>1</v>
      </c>
      <c r="AB591">
        <v>-8.16</v>
      </c>
      <c r="AD591">
        <v>0</v>
      </c>
      <c r="AF591" t="s">
        <v>1149</v>
      </c>
    </row>
    <row r="592" spans="1:36" customFormat="1" ht="18" customHeight="1">
      <c r="A592">
        <v>586</v>
      </c>
      <c r="B592" t="s">
        <v>908</v>
      </c>
      <c r="C592" t="s">
        <v>2468</v>
      </c>
      <c r="D592" t="s">
        <v>2468</v>
      </c>
      <c r="F592" t="s">
        <v>2472</v>
      </c>
      <c r="G592">
        <v>2023</v>
      </c>
      <c r="H592" t="s">
        <v>1683</v>
      </c>
      <c r="I592" t="s">
        <v>961</v>
      </c>
      <c r="K592" t="s">
        <v>2627</v>
      </c>
      <c r="O592">
        <v>17.399999999999999</v>
      </c>
      <c r="P592">
        <v>7.3</v>
      </c>
      <c r="Q592">
        <v>7</v>
      </c>
      <c r="R592" s="716">
        <v>1311</v>
      </c>
      <c r="S592" s="716">
        <v>278</v>
      </c>
      <c r="T592" t="s">
        <v>1622</v>
      </c>
      <c r="U592">
        <v>6.4</v>
      </c>
      <c r="V592">
        <v>1.6</v>
      </c>
      <c r="W592">
        <v>7</v>
      </c>
      <c r="X592" t="s">
        <v>1149</v>
      </c>
      <c r="Y592">
        <v>-2.08</v>
      </c>
      <c r="AA592">
        <v>1</v>
      </c>
      <c r="AB592">
        <v>-6.44</v>
      </c>
      <c r="AD592">
        <v>0</v>
      </c>
      <c r="AF592" t="s">
        <v>1149</v>
      </c>
    </row>
    <row r="593" spans="1:32" customFormat="1" ht="18" customHeight="1">
      <c r="A593">
        <v>587</v>
      </c>
      <c r="B593" t="s">
        <v>908</v>
      </c>
      <c r="C593" t="s">
        <v>1022</v>
      </c>
      <c r="D593" t="s">
        <v>1022</v>
      </c>
      <c r="F593" t="s">
        <v>2472</v>
      </c>
      <c r="G593">
        <v>2023</v>
      </c>
      <c r="H593" t="s">
        <v>1706</v>
      </c>
      <c r="K593" t="s">
        <v>1707</v>
      </c>
      <c r="O593">
        <v>7.3</v>
      </c>
      <c r="P593">
        <v>5.6</v>
      </c>
      <c r="Q593">
        <v>7</v>
      </c>
      <c r="R593" s="716">
        <v>1311</v>
      </c>
      <c r="S593" s="716">
        <v>278</v>
      </c>
      <c r="T593" t="s">
        <v>1622</v>
      </c>
      <c r="U593">
        <v>38.9</v>
      </c>
      <c r="V593">
        <v>5.6</v>
      </c>
      <c r="W593">
        <v>7</v>
      </c>
      <c r="X593" t="s">
        <v>1149</v>
      </c>
      <c r="AA593">
        <v>-1</v>
      </c>
      <c r="AB593">
        <v>-5.28</v>
      </c>
      <c r="AD593">
        <v>0</v>
      </c>
      <c r="AF593" t="s">
        <v>1149</v>
      </c>
    </row>
    <row r="594" spans="1:32" customFormat="1" ht="18" customHeight="1">
      <c r="A594">
        <v>588</v>
      </c>
      <c r="B594" t="s">
        <v>908</v>
      </c>
      <c r="C594" t="s">
        <v>1022</v>
      </c>
      <c r="D594" t="s">
        <v>1022</v>
      </c>
      <c r="F594" t="s">
        <v>2472</v>
      </c>
      <c r="G594">
        <v>2023</v>
      </c>
      <c r="H594" t="s">
        <v>1706</v>
      </c>
      <c r="K594" t="s">
        <v>1708</v>
      </c>
      <c r="O594">
        <v>1.3</v>
      </c>
      <c r="P594">
        <v>1.3</v>
      </c>
      <c r="Q594">
        <v>7</v>
      </c>
      <c r="R594" s="716">
        <v>1311</v>
      </c>
      <c r="S594" s="716">
        <v>278</v>
      </c>
      <c r="T594" t="s">
        <v>1622</v>
      </c>
      <c r="U594">
        <v>6.3</v>
      </c>
      <c r="V594">
        <v>1.1000000000000001</v>
      </c>
      <c r="W594">
        <v>7</v>
      </c>
      <c r="X594" t="s">
        <v>1149</v>
      </c>
      <c r="AA594">
        <v>-1</v>
      </c>
      <c r="AB594">
        <v>-4.26</v>
      </c>
      <c r="AD594">
        <v>0</v>
      </c>
      <c r="AF594" t="s">
        <v>1149</v>
      </c>
    </row>
    <row r="595" spans="1:32" customFormat="1" ht="18" customHeight="1">
      <c r="A595">
        <v>589</v>
      </c>
      <c r="B595" t="s">
        <v>908</v>
      </c>
      <c r="C595" t="s">
        <v>1022</v>
      </c>
      <c r="D595" t="s">
        <v>1022</v>
      </c>
      <c r="F595" t="s">
        <v>2472</v>
      </c>
      <c r="G595">
        <v>2023</v>
      </c>
      <c r="H595" t="s">
        <v>1581</v>
      </c>
      <c r="K595" t="s">
        <v>2027</v>
      </c>
      <c r="O595">
        <v>31.4</v>
      </c>
      <c r="P595">
        <v>5.4</v>
      </c>
      <c r="Q595">
        <v>7</v>
      </c>
      <c r="R595" s="716">
        <v>1311</v>
      </c>
      <c r="S595" s="716">
        <v>278</v>
      </c>
      <c r="T595" t="s">
        <v>1622</v>
      </c>
      <c r="U595">
        <v>50.5</v>
      </c>
      <c r="V595">
        <v>4.5999999999999996</v>
      </c>
      <c r="W595">
        <v>7</v>
      </c>
      <c r="X595" t="s">
        <v>1149</v>
      </c>
      <c r="AA595">
        <v>-1</v>
      </c>
      <c r="AB595">
        <v>-3.89</v>
      </c>
      <c r="AD595">
        <v>0</v>
      </c>
      <c r="AF595" t="s">
        <v>1149</v>
      </c>
    </row>
    <row r="596" spans="1:32" customFormat="1" ht="18" customHeight="1">
      <c r="A596">
        <v>590</v>
      </c>
      <c r="B596" t="s">
        <v>908</v>
      </c>
      <c r="C596" t="s">
        <v>1022</v>
      </c>
      <c r="D596" t="s">
        <v>1022</v>
      </c>
      <c r="F596" t="s">
        <v>2472</v>
      </c>
      <c r="G596">
        <v>2023</v>
      </c>
      <c r="H596" t="s">
        <v>1581</v>
      </c>
      <c r="K596" t="s">
        <v>2028</v>
      </c>
      <c r="O596">
        <v>5.8</v>
      </c>
      <c r="P596">
        <v>2.6</v>
      </c>
      <c r="Q596">
        <v>7</v>
      </c>
      <c r="R596" s="716">
        <v>1311</v>
      </c>
      <c r="S596" s="716">
        <v>278</v>
      </c>
      <c r="T596" t="s">
        <v>1622</v>
      </c>
      <c r="U596">
        <v>11.1</v>
      </c>
      <c r="V596">
        <v>1.3</v>
      </c>
      <c r="W596">
        <v>7</v>
      </c>
      <c r="X596" t="s">
        <v>1149</v>
      </c>
      <c r="AA596">
        <v>-1</v>
      </c>
      <c r="AB596">
        <v>-3.82</v>
      </c>
      <c r="AD596">
        <v>0</v>
      </c>
      <c r="AF596" t="s">
        <v>1149</v>
      </c>
    </row>
    <row r="597" spans="1:32" customFormat="1" ht="18" customHeight="1">
      <c r="A597">
        <v>591</v>
      </c>
      <c r="B597" t="s">
        <v>908</v>
      </c>
      <c r="C597" t="s">
        <v>89</v>
      </c>
      <c r="D597" t="s">
        <v>89</v>
      </c>
      <c r="F597" t="s">
        <v>2472</v>
      </c>
      <c r="G597">
        <v>2023</v>
      </c>
      <c r="H597" t="s">
        <v>92</v>
      </c>
      <c r="O597">
        <v>3.6</v>
      </c>
      <c r="P597">
        <v>1</v>
      </c>
      <c r="Q597">
        <v>7</v>
      </c>
      <c r="R597" s="716">
        <v>1311</v>
      </c>
      <c r="S597" s="716">
        <v>278</v>
      </c>
      <c r="T597" t="s">
        <v>1622</v>
      </c>
      <c r="U597">
        <v>7.6</v>
      </c>
      <c r="V597">
        <v>0.5</v>
      </c>
      <c r="W597">
        <v>7</v>
      </c>
      <c r="X597" t="s">
        <v>1149</v>
      </c>
      <c r="AA597">
        <v>-1</v>
      </c>
      <c r="AB597">
        <v>-7.49</v>
      </c>
      <c r="AD597">
        <v>0</v>
      </c>
      <c r="AF597" t="s">
        <v>1149</v>
      </c>
    </row>
    <row r="598" spans="1:32" customFormat="1" ht="18" customHeight="1">
      <c r="A598">
        <v>592</v>
      </c>
      <c r="B598" t="s">
        <v>908</v>
      </c>
      <c r="C598" t="s">
        <v>140</v>
      </c>
      <c r="D598" t="s">
        <v>140</v>
      </c>
      <c r="F598" t="s">
        <v>2472</v>
      </c>
      <c r="G598">
        <v>2023</v>
      </c>
      <c r="H598" t="s">
        <v>1722</v>
      </c>
      <c r="I598" t="s">
        <v>1419</v>
      </c>
      <c r="K598" t="s">
        <v>1723</v>
      </c>
      <c r="O598">
        <v>83.9</v>
      </c>
      <c r="P598">
        <v>25.9</v>
      </c>
      <c r="Q598">
        <v>7</v>
      </c>
      <c r="R598" s="716">
        <v>1311</v>
      </c>
      <c r="S598" s="716">
        <v>278</v>
      </c>
      <c r="T598" t="s">
        <v>1622</v>
      </c>
      <c r="U598">
        <v>64.099999999999994</v>
      </c>
      <c r="V598">
        <v>5.9</v>
      </c>
      <c r="W598">
        <v>7</v>
      </c>
      <c r="X598" t="s">
        <v>1149</v>
      </c>
      <c r="AA598">
        <v>1</v>
      </c>
      <c r="AB598">
        <v>-3.14</v>
      </c>
      <c r="AD598">
        <v>0</v>
      </c>
      <c r="AF598" t="s">
        <v>1149</v>
      </c>
    </row>
    <row r="599" spans="1:32" customFormat="1" ht="18" customHeight="1">
      <c r="A599">
        <v>593</v>
      </c>
      <c r="B599" t="s">
        <v>908</v>
      </c>
      <c r="C599" t="s">
        <v>140</v>
      </c>
      <c r="D599" t="s">
        <v>140</v>
      </c>
      <c r="F599" t="s">
        <v>2472</v>
      </c>
      <c r="G599">
        <v>2023</v>
      </c>
      <c r="H599" t="s">
        <v>1722</v>
      </c>
      <c r="I599" t="s">
        <v>961</v>
      </c>
      <c r="K599" t="s">
        <v>2628</v>
      </c>
      <c r="O599">
        <v>1</v>
      </c>
      <c r="P599">
        <v>1.8</v>
      </c>
      <c r="Q599">
        <v>7</v>
      </c>
      <c r="R599" s="716">
        <v>1311</v>
      </c>
      <c r="S599" s="716">
        <v>278</v>
      </c>
      <c r="T599" t="s">
        <v>1622</v>
      </c>
      <c r="U599">
        <v>0</v>
      </c>
      <c r="V599">
        <v>0</v>
      </c>
      <c r="W599">
        <v>7</v>
      </c>
      <c r="X599" t="s">
        <v>1746</v>
      </c>
      <c r="AA599">
        <v>1</v>
      </c>
      <c r="AB599" t="e">
        <v>#DIV/0!</v>
      </c>
      <c r="AD599">
        <v>0</v>
      </c>
      <c r="AF599" t="s">
        <v>1149</v>
      </c>
    </row>
    <row r="600" spans="1:32" customFormat="1" ht="18" customHeight="1">
      <c r="A600">
        <v>594</v>
      </c>
      <c r="R600" s="716"/>
      <c r="S600" s="716"/>
      <c r="AD600">
        <v>0</v>
      </c>
      <c r="AE600">
        <v>0</v>
      </c>
    </row>
    <row r="601" spans="1:32" customFormat="1" ht="18" customHeight="1">
      <c r="A601">
        <v>595</v>
      </c>
      <c r="B601" t="s">
        <v>908</v>
      </c>
      <c r="C601" t="s">
        <v>1408</v>
      </c>
      <c r="D601" t="s">
        <v>1408</v>
      </c>
      <c r="F601" t="s">
        <v>2472</v>
      </c>
      <c r="G601">
        <v>2023</v>
      </c>
      <c r="H601" t="s">
        <v>2664</v>
      </c>
      <c r="I601" t="s">
        <v>1419</v>
      </c>
      <c r="J601" t="s">
        <v>1419</v>
      </c>
      <c r="K601" t="s">
        <v>1320</v>
      </c>
      <c r="O601">
        <v>485</v>
      </c>
      <c r="P601">
        <v>90</v>
      </c>
      <c r="Q601">
        <v>7</v>
      </c>
      <c r="R601" s="716">
        <v>1311</v>
      </c>
      <c r="S601" s="716">
        <v>278</v>
      </c>
      <c r="T601" t="s">
        <v>1622</v>
      </c>
      <c r="U601">
        <v>384</v>
      </c>
      <c r="V601">
        <v>25</v>
      </c>
      <c r="W601">
        <v>7</v>
      </c>
      <c r="X601" t="s">
        <v>1149</v>
      </c>
      <c r="AA601">
        <v>1</v>
      </c>
      <c r="AB601">
        <v>-3.78</v>
      </c>
      <c r="AD601">
        <v>0</v>
      </c>
      <c r="AF601" t="s">
        <v>1149</v>
      </c>
    </row>
    <row r="602" spans="1:32" customFormat="1" ht="18" customHeight="1">
      <c r="A602">
        <v>596</v>
      </c>
      <c r="B602" t="s">
        <v>908</v>
      </c>
      <c r="C602" t="s">
        <v>1408</v>
      </c>
      <c r="D602" t="s">
        <v>1408</v>
      </c>
      <c r="F602" t="s">
        <v>2472</v>
      </c>
      <c r="G602">
        <v>2023</v>
      </c>
      <c r="H602" t="s">
        <v>2526</v>
      </c>
      <c r="I602" t="s">
        <v>1419</v>
      </c>
      <c r="J602" t="s">
        <v>1419</v>
      </c>
      <c r="K602" t="s">
        <v>1320</v>
      </c>
      <c r="O602">
        <v>1320</v>
      </c>
      <c r="P602">
        <v>394</v>
      </c>
      <c r="Q602">
        <v>7</v>
      </c>
      <c r="R602" s="716">
        <v>1311</v>
      </c>
      <c r="S602" s="716">
        <v>278</v>
      </c>
      <c r="T602" t="s">
        <v>1622</v>
      </c>
      <c r="U602">
        <v>844</v>
      </c>
      <c r="V602">
        <v>55</v>
      </c>
      <c r="W602">
        <v>7</v>
      </c>
      <c r="X602" t="s">
        <v>1149</v>
      </c>
      <c r="AA602">
        <v>1</v>
      </c>
      <c r="AB602">
        <v>-8.1</v>
      </c>
      <c r="AD602">
        <v>0</v>
      </c>
      <c r="AF602" t="s">
        <v>1149</v>
      </c>
    </row>
    <row r="603" spans="1:32" customFormat="1" ht="18" customHeight="1">
      <c r="A603">
        <v>597</v>
      </c>
      <c r="B603" t="s">
        <v>908</v>
      </c>
      <c r="C603" t="s">
        <v>1408</v>
      </c>
      <c r="D603" t="s">
        <v>1408</v>
      </c>
      <c r="F603" t="s">
        <v>2472</v>
      </c>
      <c r="G603">
        <v>2023</v>
      </c>
      <c r="H603" t="s">
        <v>2665</v>
      </c>
      <c r="I603" t="s">
        <v>1419</v>
      </c>
      <c r="J603" t="s">
        <v>1419</v>
      </c>
      <c r="K603" t="s">
        <v>1320</v>
      </c>
      <c r="O603">
        <v>507</v>
      </c>
      <c r="P603">
        <v>105</v>
      </c>
      <c r="Q603">
        <v>7</v>
      </c>
      <c r="R603" s="716">
        <v>1311</v>
      </c>
      <c r="S603" s="716">
        <v>278</v>
      </c>
      <c r="T603" t="s">
        <v>1622</v>
      </c>
      <c r="U603">
        <v>404</v>
      </c>
      <c r="V603">
        <v>26</v>
      </c>
      <c r="W603">
        <v>7</v>
      </c>
      <c r="X603" t="s">
        <v>1149</v>
      </c>
      <c r="AA603">
        <v>1</v>
      </c>
      <c r="AB603">
        <v>-3.71</v>
      </c>
      <c r="AD603">
        <v>0</v>
      </c>
      <c r="AF603" t="s">
        <v>1149</v>
      </c>
    </row>
    <row r="604" spans="1:32" customFormat="1" ht="18" customHeight="1">
      <c r="A604">
        <v>598</v>
      </c>
      <c r="B604" t="s">
        <v>908</v>
      </c>
      <c r="C604" t="s">
        <v>1408</v>
      </c>
      <c r="D604" t="s">
        <v>1408</v>
      </c>
      <c r="F604" t="s">
        <v>2472</v>
      </c>
      <c r="G604">
        <v>2023</v>
      </c>
      <c r="H604" t="s">
        <v>1462</v>
      </c>
      <c r="I604" t="s">
        <v>1419</v>
      </c>
      <c r="J604" t="s">
        <v>1419</v>
      </c>
      <c r="K604" t="s">
        <v>1320</v>
      </c>
      <c r="O604">
        <v>880</v>
      </c>
      <c r="P604">
        <v>282</v>
      </c>
      <c r="Q604">
        <v>7</v>
      </c>
      <c r="R604" s="716">
        <v>1311</v>
      </c>
      <c r="S604" s="716">
        <v>278</v>
      </c>
      <c r="T604" t="s">
        <v>1622</v>
      </c>
      <c r="U604">
        <v>515</v>
      </c>
      <c r="V604">
        <v>53</v>
      </c>
      <c r="W604">
        <v>7</v>
      </c>
      <c r="X604" t="s">
        <v>1149</v>
      </c>
      <c r="AA604">
        <v>1</v>
      </c>
      <c r="AB604">
        <v>-6.45</v>
      </c>
      <c r="AD604">
        <v>0</v>
      </c>
      <c r="AF604" t="s">
        <v>1149</v>
      </c>
    </row>
    <row r="605" spans="1:32" customFormat="1" ht="18" customHeight="1">
      <c r="A605">
        <v>599</v>
      </c>
      <c r="B605" t="s">
        <v>908</v>
      </c>
      <c r="C605" t="s">
        <v>1075</v>
      </c>
      <c r="D605" t="s">
        <v>1075</v>
      </c>
      <c r="F605" t="s">
        <v>2472</v>
      </c>
      <c r="G605">
        <v>2023</v>
      </c>
      <c r="H605" t="s">
        <v>1122</v>
      </c>
      <c r="K605" t="s">
        <v>1701</v>
      </c>
      <c r="O605">
        <v>4.2</v>
      </c>
      <c r="P605">
        <v>0.6</v>
      </c>
      <c r="Q605">
        <v>7</v>
      </c>
      <c r="R605" s="716">
        <v>1311</v>
      </c>
      <c r="S605" s="716">
        <v>278</v>
      </c>
      <c r="T605" t="s">
        <v>1622</v>
      </c>
      <c r="U605">
        <v>8.6999999999999993</v>
      </c>
      <c r="V605">
        <v>0.5</v>
      </c>
      <c r="W605">
        <v>7</v>
      </c>
      <c r="X605" t="s">
        <v>1149</v>
      </c>
      <c r="AA605">
        <v>-1</v>
      </c>
      <c r="AB605">
        <v>-8.43</v>
      </c>
      <c r="AD605">
        <v>0</v>
      </c>
      <c r="AF605" t="s">
        <v>1149</v>
      </c>
    </row>
    <row r="606" spans="1:32" customFormat="1" ht="18" customHeight="1">
      <c r="A606">
        <v>600</v>
      </c>
      <c r="B606" t="s">
        <v>908</v>
      </c>
      <c r="C606" t="s">
        <v>139</v>
      </c>
      <c r="D606" t="s">
        <v>139</v>
      </c>
      <c r="F606" t="s">
        <v>2472</v>
      </c>
      <c r="G606">
        <v>2023</v>
      </c>
      <c r="H606" t="s">
        <v>2529</v>
      </c>
      <c r="I606" t="s">
        <v>961</v>
      </c>
      <c r="J606" t="s">
        <v>961</v>
      </c>
      <c r="K606" t="s">
        <v>1720</v>
      </c>
      <c r="O606">
        <v>32.6</v>
      </c>
      <c r="P606">
        <v>6.5</v>
      </c>
      <c r="Q606">
        <v>7</v>
      </c>
      <c r="R606" s="716">
        <v>1311</v>
      </c>
      <c r="S606" s="716">
        <v>278</v>
      </c>
      <c r="T606" t="s">
        <v>1622</v>
      </c>
      <c r="U606">
        <v>35.4</v>
      </c>
      <c r="V606">
        <v>0.8</v>
      </c>
      <c r="W606">
        <v>7</v>
      </c>
      <c r="X606" t="s">
        <v>1149</v>
      </c>
      <c r="AA606">
        <v>-1</v>
      </c>
      <c r="AB606">
        <v>-3.28</v>
      </c>
      <c r="AD606">
        <v>0</v>
      </c>
      <c r="AF606" t="s">
        <v>1149</v>
      </c>
    </row>
    <row r="607" spans="1:32" customFormat="1" ht="18" customHeight="1">
      <c r="A607">
        <v>601</v>
      </c>
      <c r="B607" t="s">
        <v>908</v>
      </c>
      <c r="C607" t="s">
        <v>139</v>
      </c>
      <c r="D607" t="s">
        <v>139</v>
      </c>
      <c r="F607" t="s">
        <v>2472</v>
      </c>
      <c r="G607">
        <v>2023</v>
      </c>
      <c r="H607" t="s">
        <v>2665</v>
      </c>
      <c r="I607" t="s">
        <v>961</v>
      </c>
      <c r="J607" t="s">
        <v>961</v>
      </c>
      <c r="K607" t="s">
        <v>1719</v>
      </c>
      <c r="O607">
        <v>61.3</v>
      </c>
      <c r="P607">
        <v>6.5</v>
      </c>
      <c r="Q607">
        <v>7</v>
      </c>
      <c r="R607" s="716">
        <v>1311</v>
      </c>
      <c r="S607" s="716">
        <v>278</v>
      </c>
      <c r="T607" t="s">
        <v>1622</v>
      </c>
      <c r="U607">
        <v>64</v>
      </c>
      <c r="V607">
        <v>0.7</v>
      </c>
      <c r="W607">
        <v>7</v>
      </c>
      <c r="X607" t="s">
        <v>1745</v>
      </c>
      <c r="AA607">
        <v>-1</v>
      </c>
      <c r="AB607">
        <v>-3.61</v>
      </c>
      <c r="AD607">
        <v>0</v>
      </c>
      <c r="AF607" t="s">
        <v>1149</v>
      </c>
    </row>
    <row r="608" spans="1:32" customFormat="1" ht="18" customHeight="1">
      <c r="A608">
        <v>602</v>
      </c>
      <c r="B608" t="s">
        <v>908</v>
      </c>
      <c r="C608" t="s">
        <v>139</v>
      </c>
      <c r="D608" t="s">
        <v>139</v>
      </c>
      <c r="F608" t="s">
        <v>2472</v>
      </c>
      <c r="G608">
        <v>2023</v>
      </c>
      <c r="H608" t="s">
        <v>1462</v>
      </c>
      <c r="I608" t="s">
        <v>961</v>
      </c>
      <c r="J608" t="s">
        <v>961</v>
      </c>
      <c r="K608" t="s">
        <v>1720</v>
      </c>
      <c r="O608">
        <v>33</v>
      </c>
      <c r="P608">
        <v>6.7</v>
      </c>
      <c r="Q608">
        <v>7</v>
      </c>
      <c r="R608" s="716">
        <v>1311</v>
      </c>
      <c r="S608" s="716">
        <v>278</v>
      </c>
      <c r="T608" t="s">
        <v>1622</v>
      </c>
      <c r="U608">
        <v>36</v>
      </c>
      <c r="V608">
        <v>0.43</v>
      </c>
      <c r="W608">
        <v>7</v>
      </c>
      <c r="X608" t="s">
        <v>1745</v>
      </c>
      <c r="AA608">
        <v>-1</v>
      </c>
      <c r="AB608">
        <v>-6.53</v>
      </c>
      <c r="AD608">
        <v>0</v>
      </c>
      <c r="AF608" t="s">
        <v>1149</v>
      </c>
    </row>
    <row r="609" spans="1:40" customFormat="1" ht="18" customHeight="1">
      <c r="A609">
        <v>603</v>
      </c>
      <c r="B609" t="s">
        <v>908</v>
      </c>
      <c r="C609" t="s">
        <v>89</v>
      </c>
      <c r="D609" t="s">
        <v>89</v>
      </c>
      <c r="F609" t="s">
        <v>2472</v>
      </c>
      <c r="G609">
        <v>2023</v>
      </c>
      <c r="H609" t="s">
        <v>1473</v>
      </c>
      <c r="K609" t="s">
        <v>1692</v>
      </c>
      <c r="O609">
        <v>33.9</v>
      </c>
      <c r="P609">
        <v>5.9</v>
      </c>
      <c r="Q609">
        <v>7</v>
      </c>
      <c r="R609" s="716">
        <v>1311</v>
      </c>
      <c r="S609" s="716">
        <v>278</v>
      </c>
      <c r="T609" t="s">
        <v>1622</v>
      </c>
      <c r="U609">
        <v>56.4</v>
      </c>
      <c r="V609">
        <v>3.8</v>
      </c>
      <c r="W609">
        <v>7</v>
      </c>
      <c r="X609" t="s">
        <v>1149</v>
      </c>
      <c r="Y609">
        <v>4.53</v>
      </c>
      <c r="AA609">
        <v>-1</v>
      </c>
      <c r="AB609">
        <v>-5.54</v>
      </c>
      <c r="AD609">
        <v>0</v>
      </c>
      <c r="AF609" t="s">
        <v>1149</v>
      </c>
    </row>
    <row r="610" spans="1:40" customFormat="1" ht="18" customHeight="1"/>
    <row r="611" spans="1:40" customFormat="1" ht="18" customHeight="1"/>
    <row r="613" spans="1:40" ht="16" customHeight="1">
      <c r="A613" s="125"/>
      <c r="B613" s="125"/>
      <c r="C613" s="129"/>
      <c r="D613" s="129"/>
      <c r="E613" s="129"/>
      <c r="F613" s="129"/>
      <c r="G613" s="125"/>
      <c r="K613" s="195"/>
      <c r="L613" s="564"/>
      <c r="M613" s="187"/>
      <c r="N613" s="187"/>
      <c r="O613" s="152"/>
      <c r="P613" s="559"/>
      <c r="R613" s="149"/>
      <c r="S613" s="579"/>
      <c r="T613" s="149"/>
      <c r="U613" s="152"/>
      <c r="V613" s="558"/>
      <c r="X613" s="125"/>
      <c r="Y613" s="188"/>
      <c r="Z613" s="188"/>
      <c r="AA613" s="129"/>
      <c r="AB613" s="223"/>
      <c r="AC613" s="189"/>
      <c r="AD613" s="159"/>
      <c r="AE613" s="159"/>
      <c r="AF613" s="187"/>
      <c r="AG613" s="187"/>
      <c r="AH613" s="178"/>
      <c r="AI613" s="604"/>
      <c r="AJ613" s="147"/>
      <c r="AK613" s="129"/>
      <c r="AL613" s="129"/>
      <c r="AM613" s="125"/>
      <c r="AN613" s="129"/>
    </row>
    <row r="614" spans="1:40" ht="16" customHeight="1">
      <c r="A614" s="125"/>
      <c r="C614" s="129"/>
      <c r="D614" s="129"/>
      <c r="E614" s="129"/>
      <c r="M614" s="510"/>
      <c r="P614" s="558"/>
      <c r="V614" s="558"/>
      <c r="AB614" s="223"/>
      <c r="AC614" s="189"/>
      <c r="AD614" s="159"/>
      <c r="AE614" s="159"/>
      <c r="AF614" s="154"/>
      <c r="AI614" s="608"/>
      <c r="AJ614" s="481"/>
      <c r="AK614" s="11"/>
      <c r="AL614" s="11"/>
      <c r="AM614" s="11"/>
      <c r="AN614" s="11"/>
    </row>
    <row r="615" spans="1:40" customFormat="1" ht="16" customHeight="1">
      <c r="A615" s="125"/>
      <c r="B615" s="125"/>
      <c r="C615" s="11"/>
      <c r="D615" s="11"/>
      <c r="E615" s="129"/>
      <c r="F615" s="129"/>
      <c r="G615" s="125"/>
      <c r="H615" s="11"/>
      <c r="J615" s="108"/>
      <c r="K615" s="195"/>
      <c r="L615" s="564"/>
      <c r="M615" s="187"/>
      <c r="N615" s="187"/>
      <c r="O615" s="152"/>
      <c r="P615" s="559"/>
      <c r="Q615" s="209"/>
      <c r="R615" s="149"/>
      <c r="S615" s="579"/>
      <c r="T615" s="149"/>
      <c r="U615" s="152"/>
      <c r="V615" s="558"/>
      <c r="W615" s="209"/>
      <c r="X615" s="125"/>
      <c r="Y615" s="188"/>
      <c r="Z615" s="188"/>
      <c r="AA615" s="129"/>
      <c r="AB615" s="223"/>
      <c r="AC615" s="189"/>
      <c r="AD615" s="159"/>
      <c r="AE615" s="159"/>
      <c r="AF615" s="187"/>
      <c r="AG615" s="187"/>
      <c r="AH615" s="178"/>
      <c r="AI615" s="604"/>
      <c r="AJ615" s="147"/>
      <c r="AK615" s="129"/>
      <c r="AL615" s="129"/>
      <c r="AM615" s="125"/>
      <c r="AN615" s="129"/>
    </row>
    <row r="616" spans="1:40" ht="16" customHeight="1">
      <c r="A616" s="125"/>
      <c r="E616" s="129"/>
      <c r="L616"/>
      <c r="M616" s="125"/>
      <c r="P616" s="558"/>
      <c r="V616" s="558"/>
      <c r="AB616" s="223"/>
      <c r="AC616" s="189"/>
      <c r="AD616" s="159"/>
      <c r="AE616" s="159"/>
      <c r="AI616" s="593"/>
      <c r="AJ616" s="481"/>
      <c r="AK616" s="11"/>
      <c r="AL616" s="11"/>
      <c r="AM616" s="11"/>
      <c r="AN616" s="11"/>
    </row>
    <row r="617" spans="1:40" s="31" customFormat="1" ht="16" customHeight="1">
      <c r="A617" s="125"/>
      <c r="B617" s="125"/>
      <c r="C617" s="129"/>
      <c r="D617" s="129"/>
      <c r="E617" s="129"/>
      <c r="F617" s="129"/>
      <c r="G617" s="125"/>
      <c r="H617" s="11"/>
      <c r="I617"/>
      <c r="J617" s="108"/>
      <c r="K617" s="557"/>
      <c r="L617" s="563"/>
      <c r="M617" s="187"/>
      <c r="N617" s="187"/>
      <c r="O617" s="572"/>
      <c r="P617" s="560"/>
      <c r="Q617" s="214"/>
      <c r="R617" s="149"/>
      <c r="S617" s="579"/>
      <c r="T617" s="149"/>
      <c r="U617" s="572"/>
      <c r="V617" s="561"/>
      <c r="W617" s="214"/>
      <c r="X617" s="129"/>
      <c r="Y617" s="188"/>
      <c r="Z617" s="188"/>
      <c r="AA617" s="129"/>
      <c r="AB617" s="223"/>
      <c r="AC617" s="189"/>
      <c r="AD617" s="159"/>
      <c r="AE617" s="159"/>
      <c r="AF617" s="187"/>
      <c r="AG617" s="187"/>
      <c r="AH617" s="178"/>
      <c r="AI617" s="604"/>
      <c r="AJ617" s="147"/>
      <c r="AK617" s="129"/>
      <c r="AL617" s="129"/>
      <c r="AM617" s="605"/>
      <c r="AN617" s="129"/>
    </row>
    <row r="618" spans="1:40" ht="16" customHeight="1">
      <c r="A618" s="125"/>
      <c r="C618" s="129"/>
      <c r="D618" s="129"/>
      <c r="H618" s="125"/>
      <c r="M618" s="510"/>
      <c r="P618" s="558"/>
      <c r="Q618" s="216"/>
      <c r="V618" s="558"/>
      <c r="AB618" s="223"/>
      <c r="AC618" s="189"/>
      <c r="AD618" s="159"/>
      <c r="AE618" s="159"/>
      <c r="AF618" s="593"/>
      <c r="AG618" s="593"/>
      <c r="AH618" s="593"/>
      <c r="AI618" s="593"/>
      <c r="AJ618" s="481"/>
      <c r="AK618" s="11"/>
      <c r="AL618" s="11"/>
      <c r="AM618" s="11"/>
      <c r="AN618" s="11"/>
    </row>
  </sheetData>
  <sortState xmlns:xlrd2="http://schemas.microsoft.com/office/spreadsheetml/2017/richdata2" ref="A7:AO579">
    <sortCondition ref="C7:C579"/>
    <sortCondition ref="B7:B579"/>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4" hidden="1" customWidth="1"/>
    <col min="14" max="14" width="7.33203125" hidden="1" customWidth="1"/>
    <col min="15" max="15" width="10" hidden="1" customWidth="1"/>
    <col min="16" max="16" width="9.1640625" style="157" customWidth="1"/>
    <col min="17" max="17" width="6.33203125" style="150" customWidth="1"/>
    <col min="18" max="18" width="11.1640625" style="209" customWidth="1"/>
    <col min="19" max="19" width="7.83203125" style="159" customWidth="1"/>
    <col min="20" max="20" width="7.83203125" style="578" customWidth="1"/>
    <col min="21" max="21" width="7.83203125" style="11" customWidth="1"/>
    <col min="22" max="22" width="9.83203125" style="157" customWidth="1"/>
    <col min="23" max="23" width="12.5" style="11" customWidth="1"/>
    <col min="24" max="24" width="7" style="209" customWidth="1"/>
    <col min="25" max="25" width="15.1640625" style="11" hidden="1" customWidth="1"/>
    <col min="26" max="26" width="15.1640625" hidden="1" customWidth="1"/>
    <col min="27" max="27" width="0.83203125" customWidth="1"/>
    <col min="28" max="28" width="5.83203125" style="11" customWidth="1"/>
    <col min="29" max="29" width="12.33203125" style="219"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8" t="s">
        <v>2447</v>
      </c>
      <c r="C1" s="125"/>
      <c r="D1" s="126"/>
      <c r="E1" s="126"/>
      <c r="F1" s="126"/>
      <c r="G1" s="126"/>
      <c r="H1" s="126"/>
      <c r="I1" s="126"/>
      <c r="J1" s="185"/>
      <c r="K1" s="196"/>
      <c r="L1" s="196"/>
      <c r="M1" s="565"/>
      <c r="N1" s="185"/>
      <c r="O1" s="185"/>
      <c r="P1" s="670" t="s">
        <v>0</v>
      </c>
      <c r="Q1" s="670"/>
      <c r="R1" s="670"/>
      <c r="S1" s="574"/>
      <c r="T1" s="580"/>
      <c r="U1" s="127"/>
      <c r="V1" s="671" t="s">
        <v>1</v>
      </c>
      <c r="W1" s="671"/>
      <c r="X1" s="671"/>
      <c r="Y1" s="128"/>
      <c r="Z1" s="166" t="s">
        <v>2</v>
      </c>
      <c r="AA1" s="166"/>
      <c r="AB1" s="226"/>
      <c r="AC1" s="220"/>
      <c r="AD1" s="167"/>
      <c r="AG1" s="672" t="s">
        <v>1410</v>
      </c>
      <c r="AH1" s="672"/>
      <c r="AI1" s="178"/>
      <c r="AJ1" s="673" t="s">
        <v>1411</v>
      </c>
      <c r="AK1" s="673"/>
      <c r="AL1" s="125"/>
      <c r="AM1" s="125"/>
      <c r="AN1" s="125"/>
      <c r="AO1" s="125"/>
    </row>
    <row r="2" spans="1:41" ht="16" customHeight="1">
      <c r="A2" s="125"/>
      <c r="B2" s="178"/>
      <c r="C2" s="195" t="s">
        <v>2448</v>
      </c>
      <c r="D2" s="125"/>
      <c r="E2" s="125"/>
      <c r="F2" s="125"/>
      <c r="G2" s="125"/>
      <c r="H2" s="125"/>
      <c r="I2" s="125"/>
      <c r="J2" s="178"/>
      <c r="K2" s="195"/>
      <c r="L2" s="195"/>
      <c r="M2" s="564"/>
      <c r="N2" s="178"/>
      <c r="O2" s="178"/>
      <c r="P2" s="569"/>
      <c r="Q2" s="555"/>
      <c r="R2" s="128"/>
      <c r="S2" s="574"/>
      <c r="T2" s="579"/>
      <c r="U2" s="129"/>
      <c r="V2" s="569"/>
      <c r="W2" s="128"/>
      <c r="X2" s="128"/>
      <c r="Y2" s="131"/>
      <c r="Z2" s="168"/>
      <c r="AA2" s="168"/>
      <c r="AB2" s="130"/>
      <c r="AC2" s="221"/>
      <c r="AD2" s="169"/>
      <c r="AG2" s="168"/>
      <c r="AH2" s="168"/>
      <c r="AI2" s="178"/>
      <c r="AJ2" s="130"/>
      <c r="AK2" s="130"/>
      <c r="AL2" s="125"/>
      <c r="AM2" s="125"/>
      <c r="AN2" s="125"/>
      <c r="AO2" s="125"/>
    </row>
    <row r="3" spans="1:41" ht="16" customHeight="1">
      <c r="A3" s="125"/>
      <c r="B3" s="125"/>
      <c r="C3" s="195" t="s">
        <v>2449</v>
      </c>
      <c r="D3" s="125"/>
      <c r="E3" s="125"/>
      <c r="F3" s="125"/>
      <c r="G3" s="125"/>
      <c r="H3" s="125"/>
      <c r="I3" s="125"/>
      <c r="J3" s="178"/>
      <c r="K3" s="195"/>
      <c r="L3" s="195"/>
      <c r="M3" s="564"/>
      <c r="N3" s="178"/>
      <c r="O3" s="178"/>
      <c r="P3" s="671" t="s">
        <v>3</v>
      </c>
      <c r="Q3" s="671"/>
      <c r="R3" s="210"/>
      <c r="S3" s="574"/>
      <c r="T3" s="579"/>
      <c r="U3" s="129"/>
      <c r="V3" s="670" t="s">
        <v>3</v>
      </c>
      <c r="W3" s="670"/>
      <c r="X3" s="210"/>
      <c r="Y3" s="131"/>
      <c r="Z3" s="168"/>
      <c r="AA3" s="168"/>
      <c r="AB3" s="130"/>
      <c r="AC3" s="221"/>
      <c r="AD3" s="169"/>
      <c r="AG3" s="674" t="s">
        <v>208</v>
      </c>
      <c r="AH3" s="674"/>
      <c r="AI3" s="178"/>
      <c r="AJ3" s="671" t="s">
        <v>208</v>
      </c>
      <c r="AK3" s="671"/>
      <c r="AL3" s="125"/>
      <c r="AM3" s="125"/>
      <c r="AN3" s="125"/>
      <c r="AO3" s="125"/>
    </row>
    <row r="4" spans="1:41" ht="16" customHeight="1">
      <c r="A4" s="125"/>
      <c r="B4" s="125"/>
      <c r="C4" s="195" t="s">
        <v>2450</v>
      </c>
      <c r="D4" s="125"/>
      <c r="E4" s="125"/>
      <c r="F4" s="125"/>
      <c r="G4" s="125"/>
      <c r="H4" s="125"/>
      <c r="I4" s="125"/>
      <c r="J4" s="178"/>
      <c r="K4" s="195"/>
      <c r="L4" s="195"/>
      <c r="M4" s="564"/>
      <c r="N4" s="178"/>
      <c r="O4" s="178"/>
      <c r="P4" s="569"/>
      <c r="Q4" s="555"/>
      <c r="R4" s="554"/>
      <c r="S4" s="574"/>
      <c r="T4" s="579"/>
      <c r="U4" s="129"/>
      <c r="V4" s="569"/>
      <c r="W4" s="128"/>
      <c r="X4" s="210"/>
      <c r="Y4" s="131"/>
      <c r="Z4" s="168"/>
      <c r="AA4" s="168"/>
      <c r="AB4" s="130"/>
      <c r="AC4" s="221"/>
      <c r="AD4" s="169"/>
      <c r="AG4" s="601"/>
      <c r="AH4" s="601"/>
      <c r="AI4" s="178"/>
      <c r="AJ4" s="128"/>
      <c r="AK4" s="128"/>
      <c r="AL4" s="125"/>
      <c r="AM4" s="125"/>
      <c r="AN4" s="125"/>
      <c r="AO4" s="125"/>
    </row>
    <row r="5" spans="1:41" ht="16" customHeight="1">
      <c r="A5" s="125"/>
      <c r="B5" s="125"/>
      <c r="C5" s="195"/>
      <c r="D5" s="125"/>
      <c r="E5" s="125"/>
      <c r="F5" s="125"/>
      <c r="G5" s="125"/>
      <c r="H5" s="125"/>
      <c r="I5" s="125"/>
      <c r="J5" s="178"/>
      <c r="K5" s="195"/>
      <c r="L5" s="195"/>
      <c r="M5" s="564"/>
      <c r="N5" s="178"/>
      <c r="O5" s="178"/>
      <c r="P5" s="569"/>
      <c r="Q5" s="555"/>
      <c r="R5" s="554"/>
      <c r="S5" s="574"/>
      <c r="T5" s="579"/>
      <c r="U5" s="129"/>
      <c r="V5" s="569"/>
      <c r="W5" s="128"/>
      <c r="X5" s="210"/>
      <c r="Y5" s="131"/>
      <c r="Z5" s="168"/>
      <c r="AA5" s="168"/>
      <c r="AB5" s="130"/>
      <c r="AC5" s="221"/>
      <c r="AD5" s="169"/>
      <c r="AG5" s="601"/>
      <c r="AH5" s="601"/>
      <c r="AI5" s="178"/>
      <c r="AJ5" s="128"/>
      <c r="AK5" s="128"/>
      <c r="AL5" s="125"/>
      <c r="AM5" s="125"/>
      <c r="AN5" s="125"/>
      <c r="AO5" s="125"/>
    </row>
    <row r="6" spans="1:41" s="2" customFormat="1" ht="37" customHeight="1" thickBot="1">
      <c r="A6" s="2" t="s">
        <v>2568</v>
      </c>
      <c r="B6" s="2" t="s">
        <v>1351</v>
      </c>
      <c r="C6" s="2" t="s">
        <v>2446</v>
      </c>
      <c r="D6" s="6" t="s">
        <v>4</v>
      </c>
      <c r="E6" s="6" t="s">
        <v>2465</v>
      </c>
      <c r="F6" s="6" t="s">
        <v>5</v>
      </c>
      <c r="G6" s="6" t="s">
        <v>6</v>
      </c>
      <c r="H6" s="6" t="s">
        <v>8</v>
      </c>
      <c r="I6" s="6"/>
      <c r="J6" s="589" t="s">
        <v>2633</v>
      </c>
      <c r="K6" s="203" t="s">
        <v>2565</v>
      </c>
      <c r="L6" s="556" t="s">
        <v>2630</v>
      </c>
      <c r="M6" s="566" t="s">
        <v>2629</v>
      </c>
      <c r="N6" s="204"/>
      <c r="O6" s="204"/>
      <c r="P6" s="205" t="s">
        <v>9</v>
      </c>
      <c r="Q6" s="208" t="s">
        <v>10</v>
      </c>
      <c r="R6" s="211" t="s">
        <v>205</v>
      </c>
      <c r="S6" s="575" t="s">
        <v>11</v>
      </c>
      <c r="T6" s="581" t="s">
        <v>10</v>
      </c>
      <c r="V6" s="577" t="s">
        <v>9</v>
      </c>
      <c r="W6" s="217" t="s">
        <v>10</v>
      </c>
      <c r="X6" s="218" t="s">
        <v>205</v>
      </c>
      <c r="Z6" s="206" t="s">
        <v>12</v>
      </c>
      <c r="AA6" s="204"/>
      <c r="AB6" s="2" t="s">
        <v>1352</v>
      </c>
      <c r="AC6" s="222" t="s">
        <v>15</v>
      </c>
      <c r="AD6" s="207" t="s">
        <v>1435</v>
      </c>
      <c r="AE6" s="2" t="s">
        <v>1412</v>
      </c>
      <c r="AG6" s="206" t="s">
        <v>9</v>
      </c>
      <c r="AH6" s="602" t="s">
        <v>10</v>
      </c>
      <c r="AI6" s="204"/>
      <c r="AJ6" s="206" t="s">
        <v>9</v>
      </c>
      <c r="AK6" s="208" t="s">
        <v>10</v>
      </c>
      <c r="AL6" s="6" t="s">
        <v>16</v>
      </c>
      <c r="AM6" s="2" t="s">
        <v>16</v>
      </c>
      <c r="AN6" s="2" t="s">
        <v>17</v>
      </c>
      <c r="AO6" s="2" t="s">
        <v>16</v>
      </c>
    </row>
    <row r="7" spans="1:41" customFormat="1" ht="16" customHeight="1">
      <c r="A7" s="125">
        <v>12</v>
      </c>
      <c r="B7" s="125" t="s">
        <v>908</v>
      </c>
      <c r="C7" s="129" t="s">
        <v>1548</v>
      </c>
      <c r="D7" s="129" t="s">
        <v>1548</v>
      </c>
      <c r="E7" s="11" t="s">
        <v>2451</v>
      </c>
      <c r="F7" s="129" t="s">
        <v>64</v>
      </c>
      <c r="G7" s="125">
        <v>2018</v>
      </c>
      <c r="H7" s="619" t="s">
        <v>2634</v>
      </c>
      <c r="I7" s="11"/>
      <c r="J7" s="591" t="s">
        <v>1419</v>
      </c>
      <c r="K7" s="592"/>
      <c r="L7" s="623" t="s">
        <v>66</v>
      </c>
      <c r="M7" s="624"/>
      <c r="N7" s="625"/>
      <c r="O7" s="625"/>
      <c r="P7" s="621">
        <v>43.3</v>
      </c>
      <c r="Q7" s="626">
        <v>45.6</v>
      </c>
      <c r="R7" s="209">
        <v>15</v>
      </c>
      <c r="S7" s="149">
        <v>751.2</v>
      </c>
      <c r="T7" s="579"/>
      <c r="U7" s="149"/>
      <c r="V7" s="152">
        <v>48.2</v>
      </c>
      <c r="W7" s="150">
        <v>55.2</v>
      </c>
      <c r="X7" s="209">
        <v>24</v>
      </c>
      <c r="Y7" s="125"/>
      <c r="Z7" s="188">
        <f>(V7-P7)/SQRT((W7^2+Q7^2)/2)</f>
        <v>9.678428205774546E-2</v>
      </c>
      <c r="AA7" s="188"/>
      <c r="AB7" s="129">
        <v>1</v>
      </c>
      <c r="AC7" s="223">
        <f>((V7-P7)/W7)*AB7 * (1-(3/(4*(R7+X7-2)-1)))</f>
        <v>8.695652173913053E-2</v>
      </c>
      <c r="AD7" s="189"/>
      <c r="AE7" s="159">
        <v>1</v>
      </c>
      <c r="AF7" s="159"/>
      <c r="AG7" s="187"/>
      <c r="AH7" s="187"/>
      <c r="AI7" s="178"/>
      <c r="AJ7" s="604"/>
      <c r="AK7" s="147"/>
      <c r="AL7" s="129">
        <v>1</v>
      </c>
      <c r="AM7" s="129" t="s">
        <v>48</v>
      </c>
      <c r="AN7" s="125" t="s">
        <v>32</v>
      </c>
      <c r="AO7" s="129" t="s">
        <v>41</v>
      </c>
    </row>
    <row r="8" spans="1:41" ht="16" customHeight="1">
      <c r="A8" s="125">
        <v>23</v>
      </c>
      <c r="B8" s="11" t="s">
        <v>908</v>
      </c>
      <c r="C8" s="129" t="s">
        <v>1548</v>
      </c>
      <c r="D8" s="129" t="s">
        <v>1548</v>
      </c>
      <c r="E8" s="11" t="s">
        <v>2451</v>
      </c>
      <c r="F8" s="11" t="s">
        <v>2055</v>
      </c>
      <c r="G8" s="11">
        <v>2022</v>
      </c>
      <c r="H8" s="11" t="s">
        <v>1650</v>
      </c>
      <c r="J8" t="s">
        <v>1419</v>
      </c>
      <c r="L8" s="108" t="s">
        <v>1651</v>
      </c>
      <c r="N8" t="s">
        <v>1652</v>
      </c>
      <c r="O8" t="s">
        <v>1642</v>
      </c>
      <c r="P8" s="157">
        <v>10</v>
      </c>
      <c r="Q8" s="150">
        <v>2.5</v>
      </c>
      <c r="R8" s="209">
        <v>30</v>
      </c>
      <c r="S8" s="159">
        <v>741</v>
      </c>
      <c r="T8" s="578" t="s">
        <v>1619</v>
      </c>
      <c r="V8" s="157">
        <v>11</v>
      </c>
      <c r="W8" s="481">
        <v>3.8</v>
      </c>
      <c r="X8" s="209">
        <v>54</v>
      </c>
      <c r="Y8" s="11">
        <v>54</v>
      </c>
      <c r="Z8">
        <v>0.19</v>
      </c>
      <c r="AB8" s="11">
        <v>-1</v>
      </c>
      <c r="AC8" s="219">
        <v>-0.26</v>
      </c>
      <c r="AE8" s="159">
        <v>1</v>
      </c>
      <c r="AF8" s="159"/>
      <c r="AG8">
        <v>10.75</v>
      </c>
      <c r="AH8">
        <v>12.1</v>
      </c>
      <c r="AJ8">
        <v>13.1</v>
      </c>
      <c r="AK8">
        <v>3.2</v>
      </c>
    </row>
    <row r="9" spans="1:41" customFormat="1" ht="16" customHeight="1">
      <c r="A9" s="125">
        <v>24</v>
      </c>
      <c r="B9" s="11" t="s">
        <v>908</v>
      </c>
      <c r="C9" s="235" t="s">
        <v>1548</v>
      </c>
      <c r="D9" s="235" t="s">
        <v>1548</v>
      </c>
      <c r="E9" s="11" t="s">
        <v>2451</v>
      </c>
      <c r="F9" s="504" t="s">
        <v>2055</v>
      </c>
      <c r="G9" s="504">
        <v>2022</v>
      </c>
      <c r="H9" s="504" t="s">
        <v>1650</v>
      </c>
      <c r="I9" s="11"/>
      <c r="J9" s="505"/>
      <c r="K9" s="506"/>
      <c r="L9" s="506" t="s">
        <v>1620</v>
      </c>
      <c r="M9" s="567"/>
      <c r="N9" s="505" t="s">
        <v>1641</v>
      </c>
      <c r="O9" s="505" t="s">
        <v>1642</v>
      </c>
      <c r="P9" s="570">
        <v>0.1</v>
      </c>
      <c r="Q9" s="614">
        <v>13.7</v>
      </c>
      <c r="R9" s="231">
        <v>30</v>
      </c>
      <c r="S9" s="507">
        <v>741</v>
      </c>
      <c r="T9" s="582" t="s">
        <v>1619</v>
      </c>
      <c r="U9" s="504"/>
      <c r="V9" s="570">
        <v>-0.7</v>
      </c>
      <c r="W9" s="618">
        <v>11.5</v>
      </c>
      <c r="X9" s="231">
        <v>54</v>
      </c>
      <c r="Y9" s="504">
        <v>54</v>
      </c>
      <c r="Z9" s="505">
        <v>-0.15</v>
      </c>
      <c r="AA9" s="505"/>
      <c r="AB9" s="504">
        <v>1</v>
      </c>
      <c r="AC9" s="232">
        <v>-7.0000000000000007E-2</v>
      </c>
      <c r="AD9" s="505"/>
      <c r="AE9" s="507">
        <v>0</v>
      </c>
      <c r="AF9" s="159"/>
      <c r="AG9">
        <v>10.75</v>
      </c>
      <c r="AH9">
        <v>7.1</v>
      </c>
      <c r="AJ9">
        <v>13.1</v>
      </c>
      <c r="AK9">
        <v>3.2</v>
      </c>
    </row>
    <row r="10" spans="1:41" s="3" customFormat="1" ht="16" customHeight="1">
      <c r="A10" s="125">
        <v>25</v>
      </c>
      <c r="B10" s="11" t="s">
        <v>908</v>
      </c>
      <c r="C10" s="129" t="s">
        <v>1548</v>
      </c>
      <c r="D10" s="129" t="s">
        <v>1548</v>
      </c>
      <c r="E10" s="11" t="s">
        <v>2451</v>
      </c>
      <c r="F10" s="11" t="s">
        <v>2055</v>
      </c>
      <c r="G10" s="11">
        <v>2022</v>
      </c>
      <c r="H10" s="11" t="s">
        <v>1640</v>
      </c>
      <c r="I10" s="11"/>
      <c r="J10" t="s">
        <v>1419</v>
      </c>
      <c r="K10" s="108"/>
      <c r="L10" s="108" t="s">
        <v>1644</v>
      </c>
      <c r="M10" s="514"/>
      <c r="N10" t="s">
        <v>1645</v>
      </c>
      <c r="O10" t="s">
        <v>1642</v>
      </c>
      <c r="P10" s="157">
        <v>10</v>
      </c>
      <c r="Q10" s="150">
        <v>2</v>
      </c>
      <c r="R10" s="209">
        <v>30</v>
      </c>
      <c r="S10" s="159">
        <v>741</v>
      </c>
      <c r="T10" s="578" t="s">
        <v>1619</v>
      </c>
      <c r="U10" s="11"/>
      <c r="V10" s="157">
        <v>12</v>
      </c>
      <c r="W10" s="481">
        <v>3</v>
      </c>
      <c r="X10" s="209">
        <v>54</v>
      </c>
      <c r="Y10" s="11">
        <v>54</v>
      </c>
      <c r="Z10">
        <v>0.44</v>
      </c>
      <c r="AA10"/>
      <c r="AB10" s="11">
        <v>-1</v>
      </c>
      <c r="AC10" s="219">
        <v>-0.66</v>
      </c>
      <c r="AD10"/>
      <c r="AE10" s="159">
        <v>1</v>
      </c>
      <c r="AF10" s="159"/>
      <c r="AG10" t="s">
        <v>1149</v>
      </c>
      <c r="AH10"/>
      <c r="AI10"/>
      <c r="AJ10"/>
      <c r="AK10"/>
      <c r="AL10"/>
      <c r="AM10"/>
      <c r="AN10"/>
      <c r="AO10"/>
    </row>
    <row r="11" spans="1:41" ht="16" customHeight="1">
      <c r="A11" s="125">
        <v>26</v>
      </c>
      <c r="B11" s="11" t="s">
        <v>908</v>
      </c>
      <c r="C11" s="235" t="s">
        <v>1548</v>
      </c>
      <c r="D11" s="235" t="s">
        <v>1548</v>
      </c>
      <c r="E11" s="11" t="s">
        <v>2451</v>
      </c>
      <c r="F11" s="504" t="s">
        <v>2055</v>
      </c>
      <c r="G11" s="504">
        <v>2022</v>
      </c>
      <c r="H11" s="504" t="s">
        <v>1640</v>
      </c>
      <c r="J11" s="505"/>
      <c r="K11" s="506"/>
      <c r="L11" s="506" t="s">
        <v>1620</v>
      </c>
      <c r="M11" s="567"/>
      <c r="N11" s="505" t="s">
        <v>1641</v>
      </c>
      <c r="O11" s="505" t="s">
        <v>1642</v>
      </c>
      <c r="P11" s="570">
        <v>6.4</v>
      </c>
      <c r="Q11" s="614">
        <v>10.199999999999999</v>
      </c>
      <c r="R11" s="231">
        <v>30</v>
      </c>
      <c r="S11" s="507">
        <v>741</v>
      </c>
      <c r="T11" s="582" t="s">
        <v>1619</v>
      </c>
      <c r="U11" s="504"/>
      <c r="V11" s="570">
        <v>-2.2999999999999998</v>
      </c>
      <c r="W11" s="618">
        <v>11.8</v>
      </c>
      <c r="X11" s="231">
        <v>54</v>
      </c>
      <c r="Y11" s="504">
        <v>54</v>
      </c>
      <c r="Z11" s="505">
        <v>-0.45</v>
      </c>
      <c r="AA11" s="505"/>
      <c r="AB11" s="504">
        <v>1</v>
      </c>
      <c r="AC11" s="232">
        <v>-0.73</v>
      </c>
      <c r="AD11" s="505"/>
      <c r="AE11" s="507">
        <v>0</v>
      </c>
      <c r="AF11" s="159"/>
      <c r="AG11" t="s">
        <v>1149</v>
      </c>
      <c r="AK11" t="s">
        <v>1643</v>
      </c>
    </row>
    <row r="12" spans="1:41" ht="16" customHeight="1">
      <c r="A12" s="125">
        <v>27</v>
      </c>
      <c r="B12" s="125" t="s">
        <v>908</v>
      </c>
      <c r="C12" s="129" t="s">
        <v>1548</v>
      </c>
      <c r="D12" s="129" t="s">
        <v>1548</v>
      </c>
      <c r="E12" s="11" t="s">
        <v>2451</v>
      </c>
      <c r="F12" s="129" t="s">
        <v>2459</v>
      </c>
      <c r="G12" s="125">
        <v>2017</v>
      </c>
      <c r="H12" s="11" t="s">
        <v>2641</v>
      </c>
      <c r="J12" t="s">
        <v>961</v>
      </c>
      <c r="K12" s="108" t="s">
        <v>961</v>
      </c>
      <c r="L12" s="195" t="s">
        <v>2600</v>
      </c>
      <c r="M12" s="564"/>
      <c r="N12" s="187"/>
      <c r="O12" s="187"/>
      <c r="P12" s="152">
        <v>1.3</v>
      </c>
      <c r="Q12" s="148">
        <v>2</v>
      </c>
      <c r="R12" s="209">
        <v>37</v>
      </c>
      <c r="S12" s="149">
        <v>720</v>
      </c>
      <c r="T12" s="579"/>
      <c r="U12" s="149"/>
      <c r="V12" s="152">
        <v>1.1000000000000001</v>
      </c>
      <c r="W12" s="150">
        <v>1.6</v>
      </c>
      <c r="X12" s="209">
        <v>30</v>
      </c>
      <c r="Y12" s="125"/>
      <c r="Z12" s="188">
        <f>(V12-P12)/SQRT((W12^2+Q12^2)/2)</f>
        <v>-0.11043152607484651</v>
      </c>
      <c r="AA12" s="188"/>
      <c r="AB12" s="129">
        <v>1</v>
      </c>
      <c r="AC12" s="223">
        <f>((V12-P12)/W12)*AB12 * (1-(3/(4*(R12+X12-2)-1)))</f>
        <v>-0.12355212355212353</v>
      </c>
      <c r="AD12" s="189"/>
      <c r="AE12" s="159">
        <v>1</v>
      </c>
      <c r="AF12" s="159"/>
      <c r="AG12" s="187"/>
      <c r="AH12" s="187"/>
      <c r="AI12" s="178"/>
      <c r="AJ12" s="604"/>
      <c r="AK12" s="147"/>
      <c r="AL12" s="129">
        <v>1</v>
      </c>
      <c r="AM12" s="129" t="s">
        <v>48</v>
      </c>
      <c r="AN12" s="125" t="s">
        <v>32</v>
      </c>
      <c r="AO12" s="129" t="s">
        <v>41</v>
      </c>
    </row>
    <row r="13" spans="1:41" ht="16" customHeight="1">
      <c r="A13" s="125">
        <v>28</v>
      </c>
      <c r="B13" s="125" t="s">
        <v>908</v>
      </c>
      <c r="C13" s="129" t="s">
        <v>1548</v>
      </c>
      <c r="D13" s="129" t="s">
        <v>1548</v>
      </c>
      <c r="E13" s="11" t="s">
        <v>2451</v>
      </c>
      <c r="F13" s="129" t="s">
        <v>2459</v>
      </c>
      <c r="G13" s="125">
        <v>2017</v>
      </c>
      <c r="H13" s="11" t="s">
        <v>2641</v>
      </c>
      <c r="J13" t="s">
        <v>1419</v>
      </c>
      <c r="K13" s="108" t="s">
        <v>1419</v>
      </c>
      <c r="L13" s="195" t="s">
        <v>68</v>
      </c>
      <c r="M13" s="564"/>
      <c r="N13" s="187"/>
      <c r="O13" s="187"/>
      <c r="P13" s="152">
        <v>173</v>
      </c>
      <c r="Q13" s="148">
        <v>94.6</v>
      </c>
      <c r="R13" s="209">
        <v>37</v>
      </c>
      <c r="S13" s="149">
        <v>720</v>
      </c>
      <c r="T13" s="579"/>
      <c r="U13" s="149"/>
      <c r="V13" s="152">
        <v>145</v>
      </c>
      <c r="W13" s="150">
        <v>62.9</v>
      </c>
      <c r="X13" s="209">
        <v>30</v>
      </c>
      <c r="Y13" s="125"/>
      <c r="Z13" s="188">
        <f>(V13-P13)/SQRT((W13^2+Q13^2)/2)</f>
        <v>-0.34856552736054808</v>
      </c>
      <c r="AA13" s="188"/>
      <c r="AB13" s="129">
        <v>1</v>
      </c>
      <c r="AC13" s="223">
        <f>((V13-P13)/W13)*AB13 * (1-(3/(4*(R13+X13-2)-1)))</f>
        <v>-0.43999484381042409</v>
      </c>
      <c r="AD13" s="189"/>
      <c r="AE13" s="159">
        <v>1</v>
      </c>
      <c r="AF13" s="159"/>
      <c r="AG13" s="187"/>
      <c r="AH13" s="187"/>
      <c r="AI13" s="178"/>
      <c r="AJ13" s="604"/>
      <c r="AK13" s="147"/>
      <c r="AL13" s="129">
        <v>1</v>
      </c>
      <c r="AM13" s="129" t="s">
        <v>48</v>
      </c>
      <c r="AN13" s="125" t="s">
        <v>32</v>
      </c>
      <c r="AO13" s="129" t="s">
        <v>41</v>
      </c>
    </row>
    <row r="14" spans="1:41" s="31" customFormat="1" ht="16" customHeight="1">
      <c r="A14" s="125">
        <v>10</v>
      </c>
      <c r="B14" s="11" t="s">
        <v>908</v>
      </c>
      <c r="C14" s="11" t="s">
        <v>1548</v>
      </c>
      <c r="D14" s="11" t="s">
        <v>1548</v>
      </c>
      <c r="E14" s="11" t="s">
        <v>2451</v>
      </c>
      <c r="F14" s="11" t="s">
        <v>1847</v>
      </c>
      <c r="G14" s="11">
        <v>2023</v>
      </c>
      <c r="H14" s="11" t="s">
        <v>1646</v>
      </c>
      <c r="I14" s="11"/>
      <c r="J14"/>
      <c r="K14" s="108"/>
      <c r="L14" s="108" t="s">
        <v>1690</v>
      </c>
      <c r="M14" s="514" t="s">
        <v>1647</v>
      </c>
      <c r="N14" t="s">
        <v>1637</v>
      </c>
      <c r="O14"/>
      <c r="P14" s="157">
        <v>40</v>
      </c>
      <c r="Q14" s="150">
        <v>7.7</v>
      </c>
      <c r="R14" s="209">
        <v>40</v>
      </c>
      <c r="S14" s="159">
        <v>589</v>
      </c>
      <c r="T14" s="578">
        <v>444</v>
      </c>
      <c r="U14" s="11"/>
      <c r="V14" s="157">
        <v>43</v>
      </c>
      <c r="W14" s="481">
        <v>9.6</v>
      </c>
      <c r="X14" s="209">
        <v>32</v>
      </c>
      <c r="Y14" s="11" t="s">
        <v>1149</v>
      </c>
      <c r="Z14"/>
      <c r="AA14"/>
      <c r="AB14" s="11">
        <v>-1</v>
      </c>
      <c r="AC14" s="219">
        <v>-0.31</v>
      </c>
      <c r="AD14"/>
      <c r="AE14" s="159">
        <v>1</v>
      </c>
      <c r="AF14" s="159"/>
      <c r="AG14">
        <v>11.18</v>
      </c>
      <c r="AH14">
        <v>3.4</v>
      </c>
      <c r="AI14"/>
      <c r="AJ14">
        <v>10.3</v>
      </c>
      <c r="AK14">
        <v>3.1</v>
      </c>
      <c r="AL14"/>
      <c r="AM14"/>
      <c r="AN14"/>
      <c r="AO14"/>
    </row>
    <row r="15" spans="1:41" customFormat="1" ht="16" customHeight="1">
      <c r="A15" s="125">
        <v>4</v>
      </c>
      <c r="B15" s="125" t="s">
        <v>908</v>
      </c>
      <c r="C15" s="612" t="s">
        <v>1548</v>
      </c>
      <c r="D15" s="612" t="s">
        <v>1548</v>
      </c>
      <c r="E15" s="611" t="s">
        <v>2451</v>
      </c>
      <c r="F15" s="612" t="s">
        <v>33</v>
      </c>
      <c r="G15" s="125">
        <v>2005</v>
      </c>
      <c r="H15" s="613" t="s">
        <v>2035</v>
      </c>
      <c r="I15" s="125" t="s">
        <v>2679</v>
      </c>
      <c r="J15" t="s">
        <v>961</v>
      </c>
      <c r="K15" s="108" t="s">
        <v>961</v>
      </c>
      <c r="L15" s="108" t="s">
        <v>1484</v>
      </c>
      <c r="M15" s="564"/>
      <c r="N15" s="187"/>
      <c r="O15" s="187"/>
      <c r="P15" s="152">
        <v>97.65</v>
      </c>
      <c r="Q15" s="148">
        <v>3.41</v>
      </c>
      <c r="R15" s="215">
        <v>25</v>
      </c>
      <c r="S15" s="149">
        <v>758.79</v>
      </c>
      <c r="T15" s="579"/>
      <c r="U15" s="153"/>
      <c r="V15" s="152">
        <v>97.1</v>
      </c>
      <c r="W15" s="150">
        <v>2.86</v>
      </c>
      <c r="X15" s="215">
        <v>25</v>
      </c>
      <c r="Y15" s="125"/>
      <c r="Z15" s="188">
        <f>(V15-P15)/SQRT((W15^2+Q15^2)/2)</f>
        <v>-0.17476749542969167</v>
      </c>
      <c r="AA15" s="188"/>
      <c r="AB15" s="129">
        <v>1</v>
      </c>
      <c r="AC15" s="223">
        <f t="shared" ref="AC15:AC22" si="0">((V15-P15)/W15)*AB15 * (1-(3/(4*(R15+X15-2)-1)))</f>
        <v>-0.18928715263794191</v>
      </c>
      <c r="AD15" s="189"/>
      <c r="AE15" s="159">
        <v>1</v>
      </c>
      <c r="AF15" s="159"/>
      <c r="AG15" s="187"/>
      <c r="AH15" s="187"/>
      <c r="AI15" s="178"/>
      <c r="AJ15" s="604"/>
      <c r="AK15" s="147"/>
      <c r="AL15" s="129"/>
      <c r="AM15" s="129"/>
      <c r="AN15" s="125"/>
      <c r="AO15" s="129"/>
    </row>
    <row r="16" spans="1:41" ht="16" customHeight="1">
      <c r="A16" s="125">
        <v>5</v>
      </c>
      <c r="B16" s="125" t="s">
        <v>908</v>
      </c>
      <c r="C16" s="612" t="s">
        <v>1548</v>
      </c>
      <c r="D16" s="612" t="s">
        <v>1548</v>
      </c>
      <c r="E16" s="611" t="s">
        <v>2451</v>
      </c>
      <c r="F16" s="612" t="s">
        <v>33</v>
      </c>
      <c r="G16" s="125">
        <v>2005</v>
      </c>
      <c r="H16" s="613" t="s">
        <v>2035</v>
      </c>
      <c r="I16" s="125" t="s">
        <v>2679</v>
      </c>
      <c r="J16" t="s">
        <v>1419</v>
      </c>
      <c r="K16" s="108" t="s">
        <v>1419</v>
      </c>
      <c r="L16" s="195" t="s">
        <v>1488</v>
      </c>
      <c r="M16" s="564"/>
      <c r="N16" s="187"/>
      <c r="O16" s="187"/>
      <c r="P16" s="152">
        <v>0.47</v>
      </c>
      <c r="Q16" s="148">
        <v>0.05</v>
      </c>
      <c r="R16" s="215">
        <v>25</v>
      </c>
      <c r="S16" s="149">
        <v>758.79</v>
      </c>
      <c r="T16" s="579"/>
      <c r="U16" s="153"/>
      <c r="V16" s="152">
        <v>0.44</v>
      </c>
      <c r="W16" s="150">
        <v>0.05</v>
      </c>
      <c r="X16" s="215">
        <v>25</v>
      </c>
      <c r="Y16" s="125"/>
      <c r="Z16" s="188"/>
      <c r="AA16" s="188"/>
      <c r="AB16" s="129">
        <v>1</v>
      </c>
      <c r="AC16" s="223">
        <f t="shared" si="0"/>
        <v>-0.59057591623036598</v>
      </c>
      <c r="AD16" s="189"/>
      <c r="AE16" s="159">
        <v>1</v>
      </c>
      <c r="AF16" s="159"/>
      <c r="AG16" s="187"/>
      <c r="AH16" s="187"/>
      <c r="AI16" s="178"/>
      <c r="AJ16" s="604"/>
      <c r="AK16" s="147"/>
      <c r="AL16" s="129"/>
      <c r="AM16" s="129"/>
      <c r="AN16" s="125"/>
      <c r="AO16" s="129"/>
    </row>
    <row r="17" spans="1:41" ht="16" customHeight="1">
      <c r="A17" s="125">
        <v>8</v>
      </c>
      <c r="B17" s="125" t="s">
        <v>908</v>
      </c>
      <c r="C17" s="227" t="s">
        <v>1548</v>
      </c>
      <c r="D17" s="227" t="s">
        <v>1548</v>
      </c>
      <c r="E17" s="511" t="s">
        <v>2451</v>
      </c>
      <c r="F17" s="227" t="s">
        <v>63</v>
      </c>
      <c r="G17" s="125">
        <v>2007</v>
      </c>
      <c r="H17" s="613" t="s">
        <v>2035</v>
      </c>
      <c r="I17" s="125" t="s">
        <v>2679</v>
      </c>
      <c r="J17" t="s">
        <v>961</v>
      </c>
      <c r="K17" s="108" t="s">
        <v>961</v>
      </c>
      <c r="L17" s="195" t="s">
        <v>1486</v>
      </c>
      <c r="M17" s="564"/>
      <c r="N17" s="187"/>
      <c r="O17" s="187"/>
      <c r="P17" s="152">
        <v>97.05</v>
      </c>
      <c r="Q17" s="148">
        <v>2.2799999999999998</v>
      </c>
      <c r="R17" s="209">
        <v>25</v>
      </c>
      <c r="S17" s="149">
        <v>1285.68</v>
      </c>
      <c r="T17" s="579"/>
      <c r="U17" s="149"/>
      <c r="V17" s="152">
        <v>97.22</v>
      </c>
      <c r="W17" s="150">
        <v>2.82</v>
      </c>
      <c r="X17" s="209">
        <v>45</v>
      </c>
      <c r="Y17" s="125"/>
      <c r="Z17" s="188"/>
      <c r="AA17" s="188"/>
      <c r="AB17" s="129">
        <v>-1</v>
      </c>
      <c r="AC17" s="223">
        <f t="shared" si="0"/>
        <v>-5.961634084426011E-2</v>
      </c>
      <c r="AD17" s="189"/>
      <c r="AE17" s="159">
        <v>1</v>
      </c>
      <c r="AF17" s="159"/>
      <c r="AG17" s="187"/>
      <c r="AH17" s="187"/>
      <c r="AI17" s="178"/>
      <c r="AJ17" s="604"/>
      <c r="AK17" s="147"/>
      <c r="AL17" s="129"/>
      <c r="AM17" s="129"/>
      <c r="AN17" s="125"/>
      <c r="AO17" s="129"/>
    </row>
    <row r="18" spans="1:41" s="513" customFormat="1" ht="16" customHeight="1">
      <c r="A18" s="125">
        <v>9</v>
      </c>
      <c r="B18" s="125" t="s">
        <v>908</v>
      </c>
      <c r="C18" s="227" t="s">
        <v>1548</v>
      </c>
      <c r="D18" s="227" t="s">
        <v>1548</v>
      </c>
      <c r="E18" s="511" t="s">
        <v>2451</v>
      </c>
      <c r="F18" s="227" t="s">
        <v>63</v>
      </c>
      <c r="G18" s="125">
        <v>2007</v>
      </c>
      <c r="H18" s="613" t="s">
        <v>2035</v>
      </c>
      <c r="I18" s="125" t="s">
        <v>2679</v>
      </c>
      <c r="J18" t="s">
        <v>1419</v>
      </c>
      <c r="K18" s="108" t="s">
        <v>1419</v>
      </c>
      <c r="L18" s="195" t="s">
        <v>1488</v>
      </c>
      <c r="M18" s="564"/>
      <c r="N18" s="187"/>
      <c r="O18" s="187"/>
      <c r="P18" s="152">
        <v>0.52</v>
      </c>
      <c r="Q18" s="148">
        <v>0.08</v>
      </c>
      <c r="R18" s="209">
        <v>25</v>
      </c>
      <c r="S18" s="149">
        <v>1286.68</v>
      </c>
      <c r="T18" s="579"/>
      <c r="U18" s="149"/>
      <c r="V18" s="152">
        <v>0.46</v>
      </c>
      <c r="W18" s="150">
        <v>0.06</v>
      </c>
      <c r="X18" s="209">
        <v>45</v>
      </c>
      <c r="Y18" s="125"/>
      <c r="Z18" s="188"/>
      <c r="AA18" s="188"/>
      <c r="AB18" s="129">
        <v>1</v>
      </c>
      <c r="AC18" s="223">
        <f t="shared" si="0"/>
        <v>-0.98892988929889303</v>
      </c>
      <c r="AD18" s="202"/>
      <c r="AE18" s="159">
        <v>1</v>
      </c>
      <c r="AF18" s="159"/>
      <c r="AG18" s="187"/>
      <c r="AH18" s="187"/>
      <c r="AI18" s="178"/>
      <c r="AJ18" s="604"/>
      <c r="AK18" s="147"/>
      <c r="AL18" s="129"/>
      <c r="AM18" s="129"/>
      <c r="AN18" s="125"/>
      <c r="AO18" s="129"/>
    </row>
    <row r="19" spans="1:41" s="108" customFormat="1" ht="16" customHeight="1">
      <c r="A19" s="125">
        <v>21</v>
      </c>
      <c r="B19" s="125" t="s">
        <v>908</v>
      </c>
      <c r="C19" s="129" t="s">
        <v>1548</v>
      </c>
      <c r="D19" s="129" t="s">
        <v>1548</v>
      </c>
      <c r="E19" s="11" t="s">
        <v>2451</v>
      </c>
      <c r="F19" s="125" t="s">
        <v>37</v>
      </c>
      <c r="G19" s="125">
        <v>2007</v>
      </c>
      <c r="H19" s="11" t="s">
        <v>2025</v>
      </c>
      <c r="I19" s="11"/>
      <c r="J19" t="s">
        <v>961</v>
      </c>
      <c r="K19" s="108" t="s">
        <v>961</v>
      </c>
      <c r="L19" s="195" t="s">
        <v>1405</v>
      </c>
      <c r="M19" s="564"/>
      <c r="N19" s="187"/>
      <c r="O19" s="187"/>
      <c r="P19" s="152">
        <v>33.299999999999997</v>
      </c>
      <c r="Q19" s="148">
        <f>(44-22)/1.35</f>
        <v>16.296296296296294</v>
      </c>
      <c r="R19" s="209">
        <v>9</v>
      </c>
      <c r="S19" s="159" t="s">
        <v>24</v>
      </c>
      <c r="T19" s="578"/>
      <c r="U19" s="159"/>
      <c r="V19" s="152">
        <v>19.2</v>
      </c>
      <c r="W19" s="150">
        <f>(30-16)/1.35</f>
        <v>10.37037037037037</v>
      </c>
      <c r="X19" s="209">
        <v>9</v>
      </c>
      <c r="Y19" s="125"/>
      <c r="Z19" s="188">
        <f>(V19-P19)/SQRT((W19^2+Q19^2)/2)</f>
        <v>-1.0323178161445299</v>
      </c>
      <c r="AA19" s="188"/>
      <c r="AB19" s="129">
        <v>1</v>
      </c>
      <c r="AC19" s="223">
        <f t="shared" si="0"/>
        <v>-1.2948979591836731</v>
      </c>
      <c r="AD19" s="189"/>
      <c r="AE19" s="159">
        <v>1</v>
      </c>
      <c r="AF19" s="159"/>
      <c r="AG19" s="187"/>
      <c r="AH19" s="187"/>
      <c r="AI19" s="178"/>
      <c r="AJ19" s="604"/>
      <c r="AK19" s="147"/>
      <c r="AL19" s="125">
        <v>1</v>
      </c>
      <c r="AM19" s="125"/>
      <c r="AN19" s="125" t="s">
        <v>32</v>
      </c>
      <c r="AO19" s="129" t="s">
        <v>41</v>
      </c>
    </row>
    <row r="20" spans="1:41" ht="16" customHeight="1">
      <c r="A20" s="125">
        <v>22</v>
      </c>
      <c r="B20" s="125" t="s">
        <v>908</v>
      </c>
      <c r="C20" s="129" t="s">
        <v>1548</v>
      </c>
      <c r="D20" s="129" t="s">
        <v>1548</v>
      </c>
      <c r="E20" s="11" t="s">
        <v>2451</v>
      </c>
      <c r="F20" s="125" t="s">
        <v>37</v>
      </c>
      <c r="G20" s="125">
        <v>2007</v>
      </c>
      <c r="H20" s="11" t="s">
        <v>2025</v>
      </c>
      <c r="J20" t="s">
        <v>1419</v>
      </c>
      <c r="K20" s="108" t="s">
        <v>1419</v>
      </c>
      <c r="L20" s="195" t="s">
        <v>1404</v>
      </c>
      <c r="M20" s="564"/>
      <c r="N20" s="187"/>
      <c r="O20" s="187"/>
      <c r="P20" s="152">
        <v>316</v>
      </c>
      <c r="Q20" s="148">
        <f>(330-282)/1.35</f>
        <v>35.55555555555555</v>
      </c>
      <c r="R20" s="209">
        <v>9</v>
      </c>
      <c r="S20" s="159">
        <v>1000</v>
      </c>
      <c r="U20" s="159"/>
      <c r="V20" s="152">
        <v>284</v>
      </c>
      <c r="W20" s="150">
        <f>(300-279)/1.35</f>
        <v>15.555555555555555</v>
      </c>
      <c r="X20" s="209">
        <v>9</v>
      </c>
      <c r="Y20" s="125"/>
      <c r="Z20" s="188">
        <f>(V20-P20)/SQRT((W20^2+Q20^2)/2)</f>
        <v>-1.1660779154576393</v>
      </c>
      <c r="AA20" s="188"/>
      <c r="AB20" s="129">
        <v>1</v>
      </c>
      <c r="AC20" s="223">
        <f t="shared" si="0"/>
        <v>-1.9591836734693879</v>
      </c>
      <c r="AD20" s="189"/>
      <c r="AE20" s="159">
        <v>1</v>
      </c>
      <c r="AF20" s="159"/>
      <c r="AG20" s="187"/>
      <c r="AH20" s="187"/>
      <c r="AI20" s="178"/>
      <c r="AJ20" s="604"/>
      <c r="AK20" s="147"/>
      <c r="AL20" s="606" t="s">
        <v>23</v>
      </c>
      <c r="AM20" s="125"/>
      <c r="AN20" s="125" t="s">
        <v>32</v>
      </c>
      <c r="AO20" s="129" t="s">
        <v>67</v>
      </c>
    </row>
    <row r="21" spans="1:41" ht="16" customHeight="1">
      <c r="A21" s="125">
        <v>47</v>
      </c>
      <c r="B21" s="125" t="s">
        <v>908</v>
      </c>
      <c r="C21" s="129" t="s">
        <v>1548</v>
      </c>
      <c r="D21" s="129" t="s">
        <v>1548</v>
      </c>
      <c r="E21" s="11" t="s">
        <v>2451</v>
      </c>
      <c r="F21" s="125" t="s">
        <v>55</v>
      </c>
      <c r="G21" s="125">
        <v>2020</v>
      </c>
      <c r="H21" s="11" t="s">
        <v>2025</v>
      </c>
      <c r="J21" t="s">
        <v>961</v>
      </c>
      <c r="K21" s="108" t="s">
        <v>961</v>
      </c>
      <c r="L21" s="195" t="s">
        <v>2624</v>
      </c>
      <c r="M21" s="564"/>
      <c r="N21" s="187"/>
      <c r="O21" s="187"/>
      <c r="P21" s="152">
        <v>18.100000000000001</v>
      </c>
      <c r="Q21" s="148">
        <v>13.4</v>
      </c>
      <c r="R21" s="209">
        <v>16</v>
      </c>
      <c r="S21" s="159">
        <v>926.2</v>
      </c>
      <c r="U21" s="159"/>
      <c r="V21" s="152">
        <v>10.1</v>
      </c>
      <c r="W21" s="150">
        <v>6.5</v>
      </c>
      <c r="X21" s="209">
        <v>17</v>
      </c>
      <c r="Y21" s="125"/>
      <c r="Z21" s="188">
        <f>(V21-P21)/SQRT((W21^2+Q21^2)/2)</f>
        <v>-0.7596515422967951</v>
      </c>
      <c r="AA21" s="188"/>
      <c r="AB21" s="129">
        <v>1</v>
      </c>
      <c r="AC21" s="225">
        <f t="shared" si="0"/>
        <v>-1.2007504690431523</v>
      </c>
      <c r="AD21" s="189"/>
      <c r="AE21" s="159">
        <v>1</v>
      </c>
      <c r="AF21" s="159"/>
      <c r="AG21" s="187"/>
      <c r="AH21" s="187"/>
      <c r="AI21" s="178"/>
      <c r="AJ21" s="604"/>
      <c r="AK21" s="147"/>
      <c r="AL21" s="125">
        <v>4</v>
      </c>
      <c r="AM21" s="125" t="s">
        <v>56</v>
      </c>
      <c r="AN21" s="606" t="s">
        <v>23</v>
      </c>
      <c r="AO21" s="125" t="s">
        <v>56</v>
      </c>
    </row>
    <row r="22" spans="1:41" ht="16" customHeight="1">
      <c r="A22" s="125">
        <v>48</v>
      </c>
      <c r="B22" s="125" t="s">
        <v>908</v>
      </c>
      <c r="C22" s="129" t="s">
        <v>1548</v>
      </c>
      <c r="D22" s="129" t="s">
        <v>1548</v>
      </c>
      <c r="E22" s="11" t="s">
        <v>2451</v>
      </c>
      <c r="F22" s="125" t="s">
        <v>55</v>
      </c>
      <c r="G22" s="125">
        <v>2020</v>
      </c>
      <c r="H22" s="11" t="s">
        <v>2025</v>
      </c>
      <c r="J22" t="s">
        <v>1419</v>
      </c>
      <c r="K22" s="108" t="s">
        <v>1419</v>
      </c>
      <c r="L22" s="195" t="s">
        <v>1403</v>
      </c>
      <c r="M22" s="564"/>
      <c r="N22" s="187"/>
      <c r="O22" s="187"/>
      <c r="P22" s="152">
        <v>471.1</v>
      </c>
      <c r="Q22" s="148">
        <f>(598.4-418.5)/4</f>
        <v>44.974999999999994</v>
      </c>
      <c r="R22" s="209">
        <v>16</v>
      </c>
      <c r="S22" s="159">
        <v>926.2</v>
      </c>
      <c r="U22" s="159"/>
      <c r="V22" s="152">
        <v>448.58</v>
      </c>
      <c r="W22" s="150">
        <f>(690.9-400.26)/4</f>
        <v>72.66</v>
      </c>
      <c r="X22" s="209">
        <v>17</v>
      </c>
      <c r="Y22" s="125"/>
      <c r="Z22" s="188">
        <f>(V22-P22)/SQRT((W22^2+Q22^2)/2)</f>
        <v>-0.37269686730625295</v>
      </c>
      <c r="AA22" s="188"/>
      <c r="AB22" s="129">
        <v>1</v>
      </c>
      <c r="AC22" s="225">
        <f t="shared" si="0"/>
        <v>-0.30237725994105574</v>
      </c>
      <c r="AD22" s="189"/>
      <c r="AE22" s="159">
        <v>1</v>
      </c>
      <c r="AF22" s="159"/>
      <c r="AG22" s="187"/>
      <c r="AH22" s="187"/>
      <c r="AI22" s="178"/>
      <c r="AJ22" s="604"/>
      <c r="AK22" s="147"/>
      <c r="AL22" s="125">
        <v>4</v>
      </c>
      <c r="AM22" s="125" t="s">
        <v>56</v>
      </c>
      <c r="AN22" s="606" t="s">
        <v>23</v>
      </c>
      <c r="AO22" s="125" t="s">
        <v>56</v>
      </c>
    </row>
    <row r="23" spans="1:41" ht="16" customHeight="1">
      <c r="A23" s="125">
        <v>16</v>
      </c>
      <c r="B23" s="125" t="s">
        <v>908</v>
      </c>
      <c r="C23" s="129" t="s">
        <v>1548</v>
      </c>
      <c r="D23" s="612" t="s">
        <v>1548</v>
      </c>
      <c r="E23" s="11" t="s">
        <v>2451</v>
      </c>
      <c r="F23" s="129" t="s">
        <v>64</v>
      </c>
      <c r="G23" s="125">
        <v>2018</v>
      </c>
      <c r="H23" s="619" t="s">
        <v>2494</v>
      </c>
      <c r="I23" s="11" t="s">
        <v>2679</v>
      </c>
      <c r="J23" t="s">
        <v>961</v>
      </c>
      <c r="K23" s="108" t="s">
        <v>961</v>
      </c>
      <c r="L23" s="195" t="s">
        <v>2585</v>
      </c>
      <c r="M23" s="564"/>
      <c r="N23" s="187"/>
      <c r="O23" s="187"/>
      <c r="P23" s="622">
        <v>2.4</v>
      </c>
      <c r="Q23" s="125">
        <v>1.8</v>
      </c>
      <c r="R23" s="125">
        <v>22</v>
      </c>
      <c r="S23" s="125"/>
      <c r="T23" s="125"/>
      <c r="U23" s="125"/>
      <c r="V23" s="131">
        <v>1.2</v>
      </c>
      <c r="W23" s="125">
        <v>2.6</v>
      </c>
      <c r="X23" s="125">
        <v>25</v>
      </c>
      <c r="Y23" s="125"/>
      <c r="Z23" s="125"/>
      <c r="AA23" s="125"/>
      <c r="AB23" s="129">
        <v>1</v>
      </c>
      <c r="AC23" s="223">
        <f>((V23-P23)/W23)*AB23* (1-(3/(4*(R23+X23-2)-1)))</f>
        <v>-0.45380318006016324</v>
      </c>
      <c r="AD23" s="189"/>
      <c r="AE23" s="159">
        <v>1</v>
      </c>
      <c r="AF23" s="159"/>
      <c r="AG23" s="187"/>
      <c r="AH23" s="187"/>
      <c r="AI23" s="178"/>
      <c r="AJ23" s="604"/>
      <c r="AK23" s="147"/>
      <c r="AL23" s="129">
        <v>1</v>
      </c>
      <c r="AM23" s="129" t="s">
        <v>48</v>
      </c>
      <c r="AN23" s="125" t="s">
        <v>32</v>
      </c>
      <c r="AO23" s="129" t="s">
        <v>41</v>
      </c>
    </row>
    <row r="24" spans="1:41" ht="16" customHeight="1">
      <c r="A24" s="125">
        <v>1</v>
      </c>
      <c r="B24" s="125" t="s">
        <v>908</v>
      </c>
      <c r="C24" s="129" t="s">
        <v>1548</v>
      </c>
      <c r="D24" s="129" t="s">
        <v>1548</v>
      </c>
      <c r="E24" s="11" t="s">
        <v>2451</v>
      </c>
      <c r="F24" s="129" t="s">
        <v>29</v>
      </c>
      <c r="G24" s="125">
        <v>2004</v>
      </c>
      <c r="H24" s="11" t="s">
        <v>2494</v>
      </c>
      <c r="L24" s="195" t="s">
        <v>61</v>
      </c>
      <c r="M24" s="564"/>
      <c r="N24" s="187"/>
      <c r="O24" s="187"/>
      <c r="P24" s="152">
        <v>0.56999999999999995</v>
      </c>
      <c r="Q24" s="148">
        <v>0.32</v>
      </c>
      <c r="R24" s="209">
        <v>20</v>
      </c>
      <c r="S24" s="149">
        <v>858.5</v>
      </c>
      <c r="T24" s="579"/>
      <c r="U24" s="149"/>
      <c r="V24" s="152">
        <v>0.75</v>
      </c>
      <c r="W24" s="150">
        <v>0.53</v>
      </c>
      <c r="X24" s="209">
        <v>20</v>
      </c>
      <c r="Y24" s="125"/>
      <c r="Z24" s="188">
        <f t="shared" ref="Z24:Z29" si="1">(V24-P24)/SQRT((W24^2+Q24^2)/2)</f>
        <v>0.4111668505267474</v>
      </c>
      <c r="AA24" s="188"/>
      <c r="AB24" s="129">
        <v>-1</v>
      </c>
      <c r="AC24" s="223">
        <f>((V24-P24)/W24)*AB24* (1-(3/(4*(R24+X24-2)-1)))</f>
        <v>-0.33287517181057114</v>
      </c>
      <c r="AD24" s="189"/>
      <c r="AE24" s="159">
        <v>1</v>
      </c>
      <c r="AF24" s="159"/>
      <c r="AG24" s="187"/>
      <c r="AH24" s="187"/>
      <c r="AI24" s="178"/>
      <c r="AJ24" s="604"/>
      <c r="AK24" s="147"/>
      <c r="AL24" s="129">
        <v>2</v>
      </c>
      <c r="AM24" s="129" t="s">
        <v>31</v>
      </c>
      <c r="AN24" s="125" t="s">
        <v>32</v>
      </c>
      <c r="AO24" s="129" t="s">
        <v>31</v>
      </c>
    </row>
    <row r="25" spans="1:41" ht="16" customHeight="1">
      <c r="A25" s="125">
        <v>17</v>
      </c>
      <c r="B25" s="125" t="s">
        <v>908</v>
      </c>
      <c r="C25" s="129" t="s">
        <v>1548</v>
      </c>
      <c r="D25" s="612" t="s">
        <v>1548</v>
      </c>
      <c r="E25" s="11" t="s">
        <v>2451</v>
      </c>
      <c r="F25" s="129" t="s">
        <v>64</v>
      </c>
      <c r="G25" s="125">
        <v>2018</v>
      </c>
      <c r="H25" s="619" t="s">
        <v>2495</v>
      </c>
      <c r="I25" s="11" t="s">
        <v>2679</v>
      </c>
      <c r="J25" t="s">
        <v>1419</v>
      </c>
      <c r="K25" s="108" t="s">
        <v>1419</v>
      </c>
      <c r="L25" s="195" t="s">
        <v>65</v>
      </c>
      <c r="M25" s="564"/>
      <c r="N25" s="187"/>
      <c r="O25" s="187"/>
      <c r="P25" s="621">
        <v>48</v>
      </c>
      <c r="Q25" s="148">
        <v>37.1</v>
      </c>
      <c r="R25" s="125">
        <v>22</v>
      </c>
      <c r="S25" s="149">
        <v>751.2</v>
      </c>
      <c r="T25" s="579"/>
      <c r="U25" s="149"/>
      <c r="V25" s="152">
        <v>29.6</v>
      </c>
      <c r="W25" s="150">
        <v>17</v>
      </c>
      <c r="X25" s="125">
        <v>25</v>
      </c>
      <c r="Y25" s="125"/>
      <c r="Z25" s="188">
        <f t="shared" si="1"/>
        <v>-0.63763513096003166</v>
      </c>
      <c r="AA25" s="188"/>
      <c r="AB25" s="129">
        <v>1</v>
      </c>
      <c r="AC25" s="223">
        <f>((V25-P25)/W25)*AB25* (1-(3/(4*(R25+X25-2)-1)))</f>
        <v>-1.0642129477489319</v>
      </c>
      <c r="AD25" s="189"/>
      <c r="AE25" s="159">
        <v>1</v>
      </c>
      <c r="AF25" s="159"/>
      <c r="AG25" s="187"/>
      <c r="AH25" s="187"/>
      <c r="AI25" s="178"/>
      <c r="AJ25" s="604"/>
      <c r="AK25" s="147"/>
      <c r="AL25" s="129">
        <v>1</v>
      </c>
      <c r="AM25" s="129" t="s">
        <v>48</v>
      </c>
      <c r="AN25" s="125" t="s">
        <v>32</v>
      </c>
      <c r="AO25" s="129" t="s">
        <v>41</v>
      </c>
    </row>
    <row r="26" spans="1:41" ht="16" customHeight="1">
      <c r="A26" s="125">
        <v>37</v>
      </c>
      <c r="B26" s="125" t="s">
        <v>908</v>
      </c>
      <c r="C26" s="129" t="s">
        <v>1547</v>
      </c>
      <c r="D26" s="612" t="s">
        <v>1548</v>
      </c>
      <c r="E26" s="611" t="s">
        <v>2451</v>
      </c>
      <c r="F26" s="612" t="s">
        <v>2482</v>
      </c>
      <c r="G26" s="613">
        <v>2011</v>
      </c>
      <c r="H26" s="611" t="s">
        <v>2646</v>
      </c>
      <c r="I26" s="11" t="s">
        <v>2680</v>
      </c>
      <c r="J26" t="s">
        <v>961</v>
      </c>
      <c r="K26" s="591" t="s">
        <v>961</v>
      </c>
      <c r="L26" s="195" t="s">
        <v>2666</v>
      </c>
      <c r="M26" s="187" t="s">
        <v>2645</v>
      </c>
      <c r="O26" s="187"/>
      <c r="P26" s="152">
        <v>2</v>
      </c>
      <c r="Q26" s="148"/>
      <c r="R26" s="209">
        <v>9</v>
      </c>
      <c r="S26" s="149">
        <v>1140</v>
      </c>
      <c r="T26" s="579">
        <v>310</v>
      </c>
      <c r="U26" s="149"/>
      <c r="V26" s="152">
        <v>0</v>
      </c>
      <c r="W26" s="150"/>
      <c r="X26" s="209">
        <v>15</v>
      </c>
      <c r="Y26" s="125"/>
      <c r="Z26" s="188" t="e">
        <f t="shared" si="1"/>
        <v>#DIV/0!</v>
      </c>
      <c r="AA26" s="188"/>
      <c r="AB26" s="129">
        <v>1</v>
      </c>
      <c r="AC26" s="225"/>
      <c r="AD26" s="189"/>
      <c r="AE26" s="159">
        <v>0</v>
      </c>
      <c r="AF26" s="159"/>
      <c r="AJ26" s="593"/>
      <c r="AK26" s="481"/>
      <c r="AL26" s="129">
        <v>1</v>
      </c>
      <c r="AM26" s="129" t="s">
        <v>48</v>
      </c>
      <c r="AN26" s="129" t="s">
        <v>69</v>
      </c>
      <c r="AO26" s="129" t="s">
        <v>41</v>
      </c>
    </row>
    <row r="27" spans="1:41" ht="16" customHeight="1">
      <c r="A27" s="125">
        <v>38</v>
      </c>
      <c r="B27" s="125" t="s">
        <v>908</v>
      </c>
      <c r="C27" s="129" t="s">
        <v>1547</v>
      </c>
      <c r="D27" s="612" t="s">
        <v>1548</v>
      </c>
      <c r="E27" s="611" t="s">
        <v>2451</v>
      </c>
      <c r="F27" s="612" t="s">
        <v>2482</v>
      </c>
      <c r="G27" s="613">
        <v>2011</v>
      </c>
      <c r="H27" s="611" t="s">
        <v>2646</v>
      </c>
      <c r="I27" s="11" t="s">
        <v>2680</v>
      </c>
      <c r="J27" t="s">
        <v>961</v>
      </c>
      <c r="K27" s="591" t="s">
        <v>961</v>
      </c>
      <c r="L27" s="195" t="s">
        <v>2667</v>
      </c>
      <c r="M27" s="187" t="s">
        <v>2645</v>
      </c>
      <c r="O27" s="187"/>
      <c r="P27" s="152">
        <v>0</v>
      </c>
      <c r="Q27" s="148"/>
      <c r="R27" s="209">
        <v>9</v>
      </c>
      <c r="S27" s="149">
        <v>1140</v>
      </c>
      <c r="T27" s="579">
        <v>310</v>
      </c>
      <c r="U27" s="149"/>
      <c r="V27" s="152">
        <v>0</v>
      </c>
      <c r="W27" s="150"/>
      <c r="X27" s="209">
        <v>15</v>
      </c>
      <c r="Y27" s="125"/>
      <c r="Z27" s="188" t="e">
        <f t="shared" si="1"/>
        <v>#DIV/0!</v>
      </c>
      <c r="AA27" s="188"/>
      <c r="AB27" s="129">
        <v>1</v>
      </c>
      <c r="AC27" s="223">
        <v>0</v>
      </c>
      <c r="AD27" s="189"/>
      <c r="AE27" s="159">
        <v>1</v>
      </c>
      <c r="AF27" s="159"/>
      <c r="AJ27" s="593"/>
      <c r="AK27" s="481"/>
      <c r="AL27" s="129">
        <v>1</v>
      </c>
      <c r="AM27" s="129" t="s">
        <v>48</v>
      </c>
      <c r="AN27" s="129" t="s">
        <v>69</v>
      </c>
      <c r="AO27" s="129" t="s">
        <v>41</v>
      </c>
    </row>
    <row r="28" spans="1:41" s="31" customFormat="1" ht="16" customHeight="1">
      <c r="A28" s="125">
        <v>39</v>
      </c>
      <c r="B28" s="125" t="s">
        <v>908</v>
      </c>
      <c r="C28" s="129" t="s">
        <v>1547</v>
      </c>
      <c r="D28" s="612" t="s">
        <v>1548</v>
      </c>
      <c r="E28" s="611" t="s">
        <v>2451</v>
      </c>
      <c r="F28" s="612" t="s">
        <v>2482</v>
      </c>
      <c r="G28" s="613">
        <v>2011</v>
      </c>
      <c r="H28" s="611" t="s">
        <v>2646</v>
      </c>
      <c r="I28" s="11" t="s">
        <v>2680</v>
      </c>
      <c r="J28" t="s">
        <v>1419</v>
      </c>
      <c r="K28" s="591" t="s">
        <v>1419</v>
      </c>
      <c r="L28" s="195" t="s">
        <v>2647</v>
      </c>
      <c r="M28" s="187" t="s">
        <v>2660</v>
      </c>
      <c r="N28"/>
      <c r="O28" s="187"/>
      <c r="P28" s="152">
        <v>877.9</v>
      </c>
      <c r="Q28" s="148">
        <v>120.7</v>
      </c>
      <c r="R28" s="209">
        <v>9</v>
      </c>
      <c r="S28" s="149">
        <v>1140</v>
      </c>
      <c r="T28" s="579">
        <v>310</v>
      </c>
      <c r="U28" s="149"/>
      <c r="V28" s="152">
        <v>889</v>
      </c>
      <c r="W28" s="150">
        <v>154.1</v>
      </c>
      <c r="X28" s="209">
        <v>15</v>
      </c>
      <c r="Y28" s="125"/>
      <c r="Z28" s="188">
        <f t="shared" si="1"/>
        <v>8.0195843831330493E-2</v>
      </c>
      <c r="AA28" s="188"/>
      <c r="AB28" s="129">
        <v>1</v>
      </c>
      <c r="AC28" s="223">
        <f>((V28-P28)/W28)*AB28 * (1-(3/(4*(R28+X28-2)-1)))</f>
        <v>6.9547315894291806E-2</v>
      </c>
      <c r="AD28" s="189"/>
      <c r="AE28" s="159">
        <v>1</v>
      </c>
      <c r="AF28" s="159"/>
      <c r="AG28"/>
      <c r="AH28"/>
      <c r="AI28"/>
      <c r="AJ28" s="593"/>
      <c r="AK28" s="481"/>
      <c r="AL28" s="129">
        <v>1</v>
      </c>
      <c r="AM28" s="129" t="s">
        <v>48</v>
      </c>
      <c r="AN28" s="129" t="s">
        <v>69</v>
      </c>
      <c r="AO28" s="129" t="s">
        <v>41</v>
      </c>
    </row>
    <row r="29" spans="1:41" ht="16" customHeight="1">
      <c r="A29" s="125">
        <v>40</v>
      </c>
      <c r="B29" s="125" t="s">
        <v>908</v>
      </c>
      <c r="C29" s="129" t="s">
        <v>1547</v>
      </c>
      <c r="D29" s="612" t="s">
        <v>1548</v>
      </c>
      <c r="E29" s="611" t="s">
        <v>2451</v>
      </c>
      <c r="F29" s="612" t="s">
        <v>2482</v>
      </c>
      <c r="G29" s="613">
        <v>2011</v>
      </c>
      <c r="H29" s="611" t="s">
        <v>2646</v>
      </c>
      <c r="I29" s="11" t="s">
        <v>2680</v>
      </c>
      <c r="J29" t="s">
        <v>1419</v>
      </c>
      <c r="K29" s="591" t="s">
        <v>1419</v>
      </c>
      <c r="L29" s="195" t="s">
        <v>2651</v>
      </c>
      <c r="M29" s="187" t="s">
        <v>2645</v>
      </c>
      <c r="O29" s="187"/>
      <c r="P29" s="152">
        <v>863.3</v>
      </c>
      <c r="Q29" s="148">
        <v>175.1</v>
      </c>
      <c r="R29" s="209">
        <v>8</v>
      </c>
      <c r="S29" s="149">
        <v>1210</v>
      </c>
      <c r="T29" s="579">
        <v>320</v>
      </c>
      <c r="U29" s="149"/>
      <c r="V29" s="152">
        <v>838.1</v>
      </c>
      <c r="W29" s="150">
        <v>135.5</v>
      </c>
      <c r="X29" s="209">
        <v>15</v>
      </c>
      <c r="Y29" s="125"/>
      <c r="Z29" s="188">
        <f t="shared" si="1"/>
        <v>-0.16096362105408038</v>
      </c>
      <c r="AA29" s="188"/>
      <c r="AB29" s="129">
        <v>1</v>
      </c>
      <c r="AC29" s="223">
        <f>((V29-P29)/W29)*AB29 * (1-(3/(4*(R29+X29-2)-1)))</f>
        <v>-0.17925576846129859</v>
      </c>
      <c r="AD29" s="189"/>
      <c r="AE29" s="159">
        <v>1</v>
      </c>
      <c r="AF29" s="151">
        <f>AVERAGE(AC18:AC29)</f>
        <v>-0.70061263664753037</v>
      </c>
      <c r="AG29" s="187"/>
      <c r="AH29" s="187"/>
      <c r="AI29" s="178"/>
      <c r="AJ29" s="604"/>
      <c r="AK29" s="147"/>
      <c r="AL29" s="129">
        <v>1</v>
      </c>
      <c r="AM29" s="129" t="s">
        <v>48</v>
      </c>
      <c r="AN29" s="129" t="s">
        <v>69</v>
      </c>
      <c r="AO29" s="129" t="s">
        <v>41</v>
      </c>
    </row>
    <row r="30" spans="1:41" ht="16" customHeight="1">
      <c r="A30" s="125">
        <v>19</v>
      </c>
      <c r="B30" s="11" t="s">
        <v>908</v>
      </c>
      <c r="C30" s="129" t="s">
        <v>1548</v>
      </c>
      <c r="D30" s="129" t="s">
        <v>1548</v>
      </c>
      <c r="E30" s="11" t="s">
        <v>2451</v>
      </c>
      <c r="F30" s="11" t="s">
        <v>2478</v>
      </c>
      <c r="G30" s="11">
        <v>2023</v>
      </c>
      <c r="H30" s="11" t="s">
        <v>2036</v>
      </c>
      <c r="L30" s="108" t="s">
        <v>1657</v>
      </c>
      <c r="M30" s="514" t="s">
        <v>1654</v>
      </c>
      <c r="N30" t="s">
        <v>1655</v>
      </c>
      <c r="O30" t="s">
        <v>1658</v>
      </c>
      <c r="P30" s="157">
        <v>5.01</v>
      </c>
      <c r="Q30" s="150">
        <v>10.8</v>
      </c>
      <c r="R30" s="209">
        <v>20</v>
      </c>
      <c r="S30" s="159">
        <v>585.75</v>
      </c>
      <c r="T30" s="578">
        <v>419.73</v>
      </c>
      <c r="V30" s="157">
        <v>11.28</v>
      </c>
      <c r="W30" s="481">
        <v>8.8000000000000007</v>
      </c>
      <c r="X30" s="209">
        <v>20</v>
      </c>
      <c r="Y30" s="11" t="s">
        <v>1149</v>
      </c>
      <c r="Z30">
        <v>0.3</v>
      </c>
      <c r="AB30" s="11">
        <v>-1</v>
      </c>
      <c r="AC30" s="219">
        <v>-0.7</v>
      </c>
      <c r="AE30" s="159">
        <v>1</v>
      </c>
      <c r="AF30" s="159"/>
      <c r="AG30">
        <v>11.2</v>
      </c>
      <c r="AH30">
        <v>3.1</v>
      </c>
      <c r="AJ30">
        <v>11.3</v>
      </c>
      <c r="AK30">
        <v>3.4</v>
      </c>
    </row>
    <row r="31" spans="1:41" ht="16" customHeight="1">
      <c r="A31" s="125">
        <v>20</v>
      </c>
      <c r="B31" s="11" t="s">
        <v>908</v>
      </c>
      <c r="C31" s="129" t="s">
        <v>1548</v>
      </c>
      <c r="D31" s="129" t="s">
        <v>1548</v>
      </c>
      <c r="E31" s="11" t="s">
        <v>2451</v>
      </c>
      <c r="F31" s="11" t="s">
        <v>2478</v>
      </c>
      <c r="G31" s="11">
        <v>2023</v>
      </c>
      <c r="H31" s="11" t="s">
        <v>2036</v>
      </c>
      <c r="L31" s="108" t="s">
        <v>1653</v>
      </c>
      <c r="M31" s="514" t="s">
        <v>1654</v>
      </c>
      <c r="N31" t="s">
        <v>1655</v>
      </c>
      <c r="O31" t="s">
        <v>1656</v>
      </c>
      <c r="P31" s="157">
        <v>43.1</v>
      </c>
      <c r="Q31" s="150">
        <v>11.11</v>
      </c>
      <c r="R31" s="209">
        <v>20</v>
      </c>
      <c r="S31" s="159">
        <v>585.75</v>
      </c>
      <c r="T31" s="578">
        <v>419.73</v>
      </c>
      <c r="V31" s="157">
        <v>52</v>
      </c>
      <c r="W31" s="481">
        <v>11.89</v>
      </c>
      <c r="X31" s="209">
        <v>20</v>
      </c>
      <c r="Y31" s="11" t="s">
        <v>1149</v>
      </c>
      <c r="Z31">
        <v>0.36</v>
      </c>
      <c r="AB31" s="11">
        <v>-1</v>
      </c>
      <c r="AC31" s="219">
        <v>-0.73</v>
      </c>
      <c r="AE31" s="159">
        <v>1</v>
      </c>
      <c r="AF31" s="159"/>
      <c r="AG31">
        <v>11.2</v>
      </c>
      <c r="AH31">
        <v>3.1</v>
      </c>
      <c r="AJ31">
        <v>11.3</v>
      </c>
      <c r="AK31">
        <v>3.4</v>
      </c>
    </row>
    <row r="32" spans="1:41" ht="16" customHeight="1">
      <c r="A32" s="125">
        <v>41</v>
      </c>
      <c r="B32" s="125" t="s">
        <v>908</v>
      </c>
      <c r="C32" s="129" t="s">
        <v>1548</v>
      </c>
      <c r="D32" s="612" t="s">
        <v>1548</v>
      </c>
      <c r="E32" s="611" t="s">
        <v>2451</v>
      </c>
      <c r="F32" s="612" t="s">
        <v>2482</v>
      </c>
      <c r="G32" s="613">
        <v>2011</v>
      </c>
      <c r="H32" s="611" t="s">
        <v>2668</v>
      </c>
      <c r="I32" s="11" t="s">
        <v>2679</v>
      </c>
      <c r="J32" t="s">
        <v>961</v>
      </c>
      <c r="K32" s="108" t="s">
        <v>961</v>
      </c>
      <c r="L32" s="195" t="s">
        <v>2648</v>
      </c>
      <c r="M32" s="187" t="s">
        <v>2645</v>
      </c>
      <c r="O32" s="187"/>
      <c r="P32" s="152">
        <v>2</v>
      </c>
      <c r="Q32" s="148"/>
      <c r="R32" s="209">
        <v>9</v>
      </c>
      <c r="S32" s="149">
        <v>1140</v>
      </c>
      <c r="T32" s="579">
        <v>310</v>
      </c>
      <c r="U32" s="149"/>
      <c r="V32" s="152">
        <v>2</v>
      </c>
      <c r="W32" s="150"/>
      <c r="X32" s="209">
        <v>15</v>
      </c>
      <c r="Y32" s="125"/>
      <c r="Z32" s="188" t="e">
        <f t="shared" ref="Z32:Z37" si="2">(V32-P32)/SQRT((W32^2+Q32^2)/2)</f>
        <v>#DIV/0!</v>
      </c>
      <c r="AA32" s="188"/>
      <c r="AB32" s="129">
        <v>1</v>
      </c>
      <c r="AC32" s="223">
        <v>0</v>
      </c>
      <c r="AD32" s="189"/>
      <c r="AE32" s="159">
        <v>1</v>
      </c>
      <c r="AF32" s="159"/>
      <c r="AJ32" s="593"/>
      <c r="AK32" s="481"/>
      <c r="AL32" s="129">
        <v>1</v>
      </c>
      <c r="AM32" s="129" t="s">
        <v>48</v>
      </c>
      <c r="AN32" s="129" t="s">
        <v>69</v>
      </c>
      <c r="AO32" s="129" t="s">
        <v>41</v>
      </c>
    </row>
    <row r="33" spans="1:41" s="31" customFormat="1" ht="16" customHeight="1">
      <c r="A33" s="125">
        <v>42</v>
      </c>
      <c r="B33" s="125" t="s">
        <v>908</v>
      </c>
      <c r="C33" s="129" t="s">
        <v>1548</v>
      </c>
      <c r="D33" s="612" t="s">
        <v>1548</v>
      </c>
      <c r="E33" s="611" t="s">
        <v>2451</v>
      </c>
      <c r="F33" s="612" t="s">
        <v>2482</v>
      </c>
      <c r="G33" s="613">
        <v>2011</v>
      </c>
      <c r="H33" s="611" t="s">
        <v>2668</v>
      </c>
      <c r="I33" s="11" t="s">
        <v>2679</v>
      </c>
      <c r="J33" t="s">
        <v>961</v>
      </c>
      <c r="K33" s="108" t="s">
        <v>961</v>
      </c>
      <c r="L33" s="195" t="s">
        <v>2652</v>
      </c>
      <c r="M33" s="187" t="s">
        <v>2645</v>
      </c>
      <c r="N33"/>
      <c r="O33" s="187"/>
      <c r="P33" s="152">
        <v>2</v>
      </c>
      <c r="Q33" s="148"/>
      <c r="R33" s="209">
        <v>9</v>
      </c>
      <c r="S33" s="149">
        <v>1140</v>
      </c>
      <c r="T33" s="579">
        <v>310</v>
      </c>
      <c r="U33" s="149"/>
      <c r="V33" s="152">
        <v>0</v>
      </c>
      <c r="W33" s="150"/>
      <c r="X33" s="209">
        <v>15</v>
      </c>
      <c r="Y33" s="125"/>
      <c r="Z33" s="188" t="e">
        <f t="shared" si="2"/>
        <v>#DIV/0!</v>
      </c>
      <c r="AA33" s="188"/>
      <c r="AB33" s="129">
        <v>1</v>
      </c>
      <c r="AC33" s="225"/>
      <c r="AD33" s="189"/>
      <c r="AE33" s="159">
        <v>0</v>
      </c>
      <c r="AF33" s="159"/>
      <c r="AG33"/>
      <c r="AH33"/>
      <c r="AI33"/>
      <c r="AJ33" s="593"/>
      <c r="AK33" s="481"/>
      <c r="AL33" s="129">
        <v>1</v>
      </c>
      <c r="AM33" s="129" t="s">
        <v>48</v>
      </c>
      <c r="AN33" s="129" t="s">
        <v>69</v>
      </c>
      <c r="AO33" s="129" t="s">
        <v>41</v>
      </c>
    </row>
    <row r="34" spans="1:41" ht="16" customHeight="1">
      <c r="A34" s="125">
        <v>43</v>
      </c>
      <c r="B34" s="125" t="s">
        <v>908</v>
      </c>
      <c r="C34" s="129" t="s">
        <v>1548</v>
      </c>
      <c r="D34" s="612" t="s">
        <v>1548</v>
      </c>
      <c r="E34" s="611" t="s">
        <v>2451</v>
      </c>
      <c r="F34" s="612" t="s">
        <v>2482</v>
      </c>
      <c r="G34" s="613">
        <v>2011</v>
      </c>
      <c r="H34" s="611" t="s">
        <v>2668</v>
      </c>
      <c r="I34" s="11" t="s">
        <v>2679</v>
      </c>
      <c r="J34" t="s">
        <v>1419</v>
      </c>
      <c r="K34" s="108" t="s">
        <v>1419</v>
      </c>
      <c r="L34" s="195" t="s">
        <v>2649</v>
      </c>
      <c r="M34" s="187" t="s">
        <v>2645</v>
      </c>
      <c r="O34" s="187"/>
      <c r="P34" s="152">
        <v>167.6</v>
      </c>
      <c r="Q34" s="148">
        <v>81.3</v>
      </c>
      <c r="R34" s="209">
        <v>9</v>
      </c>
      <c r="S34" s="149">
        <v>1140</v>
      </c>
      <c r="T34" s="579">
        <v>310</v>
      </c>
      <c r="U34" s="149"/>
      <c r="V34" s="152">
        <v>157.19999999999999</v>
      </c>
      <c r="W34" s="150">
        <v>80.900000000000006</v>
      </c>
      <c r="X34" s="209">
        <v>15</v>
      </c>
      <c r="Y34" s="125"/>
      <c r="Z34" s="188">
        <f t="shared" si="2"/>
        <v>-0.12823635481865464</v>
      </c>
      <c r="AA34" s="188"/>
      <c r="AB34" s="129">
        <v>1</v>
      </c>
      <c r="AC34" s="223">
        <f>((V34-P34)/W34)*AB34 * (1-(3/(4*(R34+X34-2)-1)))</f>
        <v>-0.1241208814628533</v>
      </c>
      <c r="AD34" s="189"/>
      <c r="AE34" s="159">
        <v>1</v>
      </c>
      <c r="AF34" s="159"/>
      <c r="AJ34" s="593"/>
      <c r="AK34" s="481"/>
      <c r="AL34" s="129">
        <v>1</v>
      </c>
      <c r="AM34" s="129" t="s">
        <v>48</v>
      </c>
      <c r="AN34" s="129" t="s">
        <v>69</v>
      </c>
      <c r="AO34" s="129" t="s">
        <v>41</v>
      </c>
    </row>
    <row r="35" spans="1:41" s="3" customFormat="1" ht="16" customHeight="1">
      <c r="A35" s="125">
        <v>44</v>
      </c>
      <c r="B35" s="125" t="s">
        <v>908</v>
      </c>
      <c r="C35" s="129" t="s">
        <v>1548</v>
      </c>
      <c r="D35" s="612" t="s">
        <v>1548</v>
      </c>
      <c r="E35" s="611" t="s">
        <v>2451</v>
      </c>
      <c r="F35" s="612" t="s">
        <v>2482</v>
      </c>
      <c r="G35" s="613">
        <v>2011</v>
      </c>
      <c r="H35" s="611" t="s">
        <v>2668</v>
      </c>
      <c r="I35" s="11" t="s">
        <v>2679</v>
      </c>
      <c r="J35" t="s">
        <v>1419</v>
      </c>
      <c r="K35" s="108" t="s">
        <v>1419</v>
      </c>
      <c r="L35" s="195" t="s">
        <v>2650</v>
      </c>
      <c r="M35" s="187" t="s">
        <v>2645</v>
      </c>
      <c r="N35"/>
      <c r="O35" s="187"/>
      <c r="P35" s="152">
        <v>121.5</v>
      </c>
      <c r="Q35" s="148">
        <v>64</v>
      </c>
      <c r="R35" s="209">
        <v>9</v>
      </c>
      <c r="S35" s="149">
        <v>1210</v>
      </c>
      <c r="T35" s="579">
        <v>320</v>
      </c>
      <c r="U35" s="149"/>
      <c r="V35" s="152">
        <v>124.1</v>
      </c>
      <c r="W35" s="150">
        <v>98.6</v>
      </c>
      <c r="X35" s="209">
        <v>15</v>
      </c>
      <c r="Y35" s="125"/>
      <c r="Z35" s="188">
        <f t="shared" si="2"/>
        <v>3.1279973771031075E-2</v>
      </c>
      <c r="AA35" s="188"/>
      <c r="AB35" s="129">
        <v>1</v>
      </c>
      <c r="AC35" s="223">
        <f>((V35-P35)/W35)*AB35 * (1-(3/(4*(R35+X35-2)-1)))</f>
        <v>2.5459886689515231E-2</v>
      </c>
      <c r="AD35" s="189"/>
      <c r="AE35" s="159">
        <v>1</v>
      </c>
      <c r="AF35" s="151">
        <f>AVERAGE(AC24:AC35)</f>
        <v>-0.30354575668998474</v>
      </c>
      <c r="AG35"/>
      <c r="AH35"/>
      <c r="AI35"/>
      <c r="AJ35" s="593"/>
      <c r="AK35" s="481"/>
      <c r="AL35" s="129">
        <v>1</v>
      </c>
      <c r="AM35" s="129" t="s">
        <v>48</v>
      </c>
      <c r="AN35" s="129" t="s">
        <v>69</v>
      </c>
      <c r="AO35" s="129" t="s">
        <v>41</v>
      </c>
    </row>
    <row r="36" spans="1:41" ht="16" customHeight="1">
      <c r="A36" s="125">
        <v>29</v>
      </c>
      <c r="B36" s="125" t="s">
        <v>908</v>
      </c>
      <c r="C36" s="129" t="s">
        <v>1548</v>
      </c>
      <c r="D36" s="129" t="s">
        <v>1548</v>
      </c>
      <c r="E36" s="11" t="s">
        <v>2451</v>
      </c>
      <c r="F36" s="129" t="s">
        <v>2459</v>
      </c>
      <c r="G36" s="125">
        <v>2017</v>
      </c>
      <c r="H36" s="11" t="s">
        <v>2033</v>
      </c>
      <c r="L36" s="195" t="s">
        <v>2613</v>
      </c>
      <c r="M36" s="564"/>
      <c r="N36" s="187"/>
      <c r="O36" s="187"/>
      <c r="P36" s="152">
        <v>0.5</v>
      </c>
      <c r="Q36" s="148">
        <v>1.1000000000000001</v>
      </c>
      <c r="R36" s="209">
        <v>37</v>
      </c>
      <c r="S36" s="149">
        <v>720</v>
      </c>
      <c r="T36" s="579"/>
      <c r="U36" s="149"/>
      <c r="V36" s="152">
        <v>0.8</v>
      </c>
      <c r="W36" s="150">
        <v>1</v>
      </c>
      <c r="X36" s="209">
        <v>30</v>
      </c>
      <c r="Y36" s="125"/>
      <c r="Z36" s="188">
        <f t="shared" si="2"/>
        <v>0.2853908964926965</v>
      </c>
      <c r="AA36" s="188"/>
      <c r="AB36" s="129">
        <v>1</v>
      </c>
      <c r="AC36" s="223">
        <f>((V36-P36)/W36)*AB36 * (1-(3/(4*(R36+X36-2)-1)))</f>
        <v>0.29652509652509657</v>
      </c>
      <c r="AD36" s="189"/>
      <c r="AE36" s="159">
        <v>1</v>
      </c>
      <c r="AF36" s="159"/>
      <c r="AG36" s="187"/>
      <c r="AH36" s="187"/>
      <c r="AI36" s="178"/>
      <c r="AJ36" s="604"/>
      <c r="AK36" s="147"/>
      <c r="AL36" s="129">
        <v>1</v>
      </c>
      <c r="AM36" s="129" t="s">
        <v>48</v>
      </c>
      <c r="AN36" s="125" t="s">
        <v>32</v>
      </c>
      <c r="AO36" s="129" t="s">
        <v>41</v>
      </c>
    </row>
    <row r="37" spans="1:41" ht="16" customHeight="1">
      <c r="A37" s="125">
        <v>30</v>
      </c>
      <c r="B37" s="125" t="s">
        <v>908</v>
      </c>
      <c r="C37" s="129" t="s">
        <v>1548</v>
      </c>
      <c r="D37" s="129" t="s">
        <v>1548</v>
      </c>
      <c r="E37" s="11" t="s">
        <v>2451</v>
      </c>
      <c r="F37" s="129" t="s">
        <v>2459</v>
      </c>
      <c r="G37" s="125">
        <v>2017</v>
      </c>
      <c r="H37" s="11" t="s">
        <v>2034</v>
      </c>
      <c r="L37" s="195" t="s">
        <v>1418</v>
      </c>
      <c r="M37" s="564"/>
      <c r="N37" s="187"/>
      <c r="O37" s="187"/>
      <c r="P37" s="152">
        <v>111.3</v>
      </c>
      <c r="Q37" s="148">
        <v>86.7</v>
      </c>
      <c r="R37" s="209">
        <v>37</v>
      </c>
      <c r="S37" s="149">
        <v>720</v>
      </c>
      <c r="T37" s="579"/>
      <c r="U37" s="149"/>
      <c r="V37" s="152">
        <v>94.3</v>
      </c>
      <c r="W37" s="150">
        <v>51.9</v>
      </c>
      <c r="X37" s="209">
        <v>30</v>
      </c>
      <c r="Y37" s="125"/>
      <c r="Z37" s="188">
        <f t="shared" si="2"/>
        <v>-0.23792518429246062</v>
      </c>
      <c r="AA37" s="188"/>
      <c r="AB37" s="129">
        <v>1</v>
      </c>
      <c r="AC37" s="223">
        <f>((V37-P37)/W37)*AB37 * (1-(3/(4*(R37+X37-2)-1)))</f>
        <v>-0.32375893647569948</v>
      </c>
      <c r="AD37" s="178"/>
      <c r="AE37" s="159">
        <v>1</v>
      </c>
      <c r="AF37" s="159"/>
      <c r="AJ37" s="593"/>
      <c r="AK37" s="481"/>
      <c r="AL37" s="129">
        <v>1</v>
      </c>
      <c r="AM37" s="129" t="s">
        <v>48</v>
      </c>
      <c r="AN37" s="125" t="s">
        <v>32</v>
      </c>
      <c r="AO37" s="129" t="s">
        <v>41</v>
      </c>
    </row>
    <row r="38" spans="1:41" ht="16" customHeight="1">
      <c r="A38" s="125">
        <v>34</v>
      </c>
      <c r="B38" s="125" t="s">
        <v>908</v>
      </c>
      <c r="C38" s="129" t="s">
        <v>1548</v>
      </c>
      <c r="D38" s="612" t="s">
        <v>1548</v>
      </c>
      <c r="E38" s="611" t="s">
        <v>2451</v>
      </c>
      <c r="F38" s="612" t="s">
        <v>2459</v>
      </c>
      <c r="G38" s="613">
        <v>2017</v>
      </c>
      <c r="H38" s="611" t="s">
        <v>2037</v>
      </c>
      <c r="I38" s="11" t="s">
        <v>2679</v>
      </c>
      <c r="J38" s="508" t="s">
        <v>961</v>
      </c>
      <c r="K38" s="461" t="s">
        <v>961</v>
      </c>
      <c r="L38" s="598" t="s">
        <v>1519</v>
      </c>
      <c r="M38" s="599" t="s">
        <v>1521</v>
      </c>
      <c r="N38" s="594"/>
      <c r="O38" s="594"/>
      <c r="P38" s="600">
        <v>0.63</v>
      </c>
      <c r="Q38" s="615">
        <v>1.07</v>
      </c>
      <c r="R38" s="212">
        <v>37</v>
      </c>
      <c r="S38" s="595">
        <v>720</v>
      </c>
      <c r="T38" s="596"/>
      <c r="U38" s="595"/>
      <c r="V38" s="600">
        <v>0.8</v>
      </c>
      <c r="W38" s="616">
        <v>1</v>
      </c>
      <c r="X38" s="212">
        <v>30</v>
      </c>
      <c r="Y38" s="233"/>
      <c r="Z38" s="597" t="e">
        <f>(#REF!-P38)/SQRT((#REF!^2+Q38^2)/2)</f>
        <v>#REF!</v>
      </c>
      <c r="AA38" s="597"/>
      <c r="AB38" s="236">
        <v>1</v>
      </c>
      <c r="AC38" s="225">
        <f>((P38-V38)/Q38)*AB38 * (1-(3/(4*(R38+X38-2)-1)))</f>
        <v>-0.1570382131129795</v>
      </c>
      <c r="AD38" s="189"/>
      <c r="AE38" s="490">
        <v>0</v>
      </c>
      <c r="AF38" s="490" t="s">
        <v>2311</v>
      </c>
      <c r="AJ38" s="593"/>
      <c r="AK38" s="481"/>
      <c r="AL38" s="129">
        <v>1</v>
      </c>
      <c r="AM38" s="129" t="s">
        <v>48</v>
      </c>
      <c r="AN38" s="125" t="s">
        <v>32</v>
      </c>
      <c r="AO38" s="129" t="s">
        <v>41</v>
      </c>
    </row>
    <row r="39" spans="1:41" ht="16" customHeight="1">
      <c r="A39" s="125">
        <v>35</v>
      </c>
      <c r="B39" s="125" t="s">
        <v>908</v>
      </c>
      <c r="C39" s="129" t="s">
        <v>1548</v>
      </c>
      <c r="D39" s="612" t="s">
        <v>1548</v>
      </c>
      <c r="E39" s="611" t="s">
        <v>2451</v>
      </c>
      <c r="F39" s="612" t="s">
        <v>2459</v>
      </c>
      <c r="G39" s="613">
        <v>2017</v>
      </c>
      <c r="H39" s="611" t="s">
        <v>2037</v>
      </c>
      <c r="I39" s="11" t="s">
        <v>2679</v>
      </c>
      <c r="J39" s="508" t="s">
        <v>1419</v>
      </c>
      <c r="K39" s="461" t="s">
        <v>1419</v>
      </c>
      <c r="L39" s="598" t="s">
        <v>1518</v>
      </c>
      <c r="M39" s="599" t="s">
        <v>1521</v>
      </c>
      <c r="N39" s="594"/>
      <c r="O39" s="594"/>
      <c r="P39" s="600">
        <v>876.73</v>
      </c>
      <c r="Q39" s="615">
        <v>206.05</v>
      </c>
      <c r="R39" s="212">
        <v>37</v>
      </c>
      <c r="S39" s="595">
        <v>720</v>
      </c>
      <c r="T39" s="596"/>
      <c r="U39" s="595"/>
      <c r="V39" s="600">
        <v>730.02</v>
      </c>
      <c r="W39" s="616">
        <v>130.33000000000001</v>
      </c>
      <c r="X39" s="212">
        <v>30</v>
      </c>
      <c r="Y39" s="233"/>
      <c r="Z39" s="597">
        <f t="shared" ref="Z39:Z46" si="3">(V39-P39)/SQRT((W39^2+Q39^2)/2)</f>
        <v>-0.85099329847460004</v>
      </c>
      <c r="AA39" s="597"/>
      <c r="AB39" s="236">
        <v>1</v>
      </c>
      <c r="AC39" s="225">
        <f>((P39-V39)/Q39)*AB39 * (1-(3/(4*(R39+X39-2)-1)))</f>
        <v>0.70376440849626987</v>
      </c>
      <c r="AD39" s="189"/>
      <c r="AE39" s="490">
        <v>0</v>
      </c>
      <c r="AF39" s="490" t="s">
        <v>2311</v>
      </c>
      <c r="AG39" s="187"/>
      <c r="AH39" s="187"/>
      <c r="AI39" s="178"/>
      <c r="AJ39" s="604"/>
      <c r="AK39" s="147"/>
      <c r="AL39" s="129">
        <v>1</v>
      </c>
      <c r="AM39" s="129" t="s">
        <v>48</v>
      </c>
      <c r="AN39" s="125" t="s">
        <v>32</v>
      </c>
      <c r="AO39" s="129" t="s">
        <v>41</v>
      </c>
    </row>
    <row r="40" spans="1:41" ht="16" customHeight="1">
      <c r="A40" s="125">
        <v>45</v>
      </c>
      <c r="B40" s="125" t="s">
        <v>908</v>
      </c>
      <c r="C40" s="129" t="s">
        <v>1548</v>
      </c>
      <c r="D40" s="129" t="s">
        <v>1548</v>
      </c>
      <c r="E40" s="11" t="s">
        <v>2451</v>
      </c>
      <c r="F40" s="236" t="s">
        <v>2483</v>
      </c>
      <c r="G40" s="233">
        <v>2011</v>
      </c>
      <c r="H40" s="458" t="s">
        <v>2037</v>
      </c>
      <c r="J40" s="508" t="s">
        <v>1419</v>
      </c>
      <c r="K40" s="461"/>
      <c r="L40" s="598" t="s">
        <v>1515</v>
      </c>
      <c r="M40" s="594" t="s">
        <v>2645</v>
      </c>
      <c r="N40" s="508"/>
      <c r="O40" s="594"/>
      <c r="P40" s="600">
        <v>1045</v>
      </c>
      <c r="Q40" s="615">
        <v>137.9</v>
      </c>
      <c r="R40" s="212">
        <v>9</v>
      </c>
      <c r="S40" s="595">
        <v>1210</v>
      </c>
      <c r="T40" s="596">
        <v>320</v>
      </c>
      <c r="U40" s="595"/>
      <c r="V40" s="600">
        <v>1046.2</v>
      </c>
      <c r="W40" s="616">
        <v>213.9</v>
      </c>
      <c r="X40" s="212">
        <v>15</v>
      </c>
      <c r="Y40" s="233"/>
      <c r="Z40" s="597">
        <f t="shared" si="3"/>
        <v>6.6682299735806019E-3</v>
      </c>
      <c r="AA40" s="597"/>
      <c r="AB40" s="236">
        <v>1</v>
      </c>
      <c r="AC40" s="225">
        <f t="shared" ref="AC40:AC45" si="4">((V40-P40)/W40)*AB40 * (1-(3/(4*(R40+X40-2)-1)))</f>
        <v>5.4166465154521564E-3</v>
      </c>
      <c r="AD40" s="194"/>
      <c r="AE40" s="458">
        <v>0</v>
      </c>
      <c r="AJ40" s="593"/>
      <c r="AK40" s="481"/>
      <c r="AL40" s="129"/>
      <c r="AM40" s="129"/>
      <c r="AN40" s="129"/>
      <c r="AO40" s="129"/>
    </row>
    <row r="41" spans="1:41" ht="16" customHeight="1">
      <c r="A41" s="125">
        <v>46</v>
      </c>
      <c r="B41" s="125" t="s">
        <v>908</v>
      </c>
      <c r="C41" s="129" t="s">
        <v>1548</v>
      </c>
      <c r="D41" s="129" t="s">
        <v>1548</v>
      </c>
      <c r="E41" s="11" t="s">
        <v>2451</v>
      </c>
      <c r="F41" s="236" t="s">
        <v>2483</v>
      </c>
      <c r="G41" s="233">
        <v>2011</v>
      </c>
      <c r="H41" s="458" t="s">
        <v>2037</v>
      </c>
      <c r="J41" s="508" t="s">
        <v>1419</v>
      </c>
      <c r="K41" s="461"/>
      <c r="L41" s="598" t="s">
        <v>1515</v>
      </c>
      <c r="M41" s="594" t="s">
        <v>2645</v>
      </c>
      <c r="N41" s="508"/>
      <c r="O41" s="594"/>
      <c r="P41" s="600">
        <v>984.8</v>
      </c>
      <c r="Q41" s="615">
        <v>210.4</v>
      </c>
      <c r="R41" s="212">
        <v>9</v>
      </c>
      <c r="S41" s="595">
        <v>1210</v>
      </c>
      <c r="T41" s="596">
        <v>320</v>
      </c>
      <c r="U41" s="595"/>
      <c r="V41" s="600">
        <v>962.2</v>
      </c>
      <c r="W41" s="616">
        <v>194.2</v>
      </c>
      <c r="X41" s="212">
        <v>15</v>
      </c>
      <c r="Y41" s="233"/>
      <c r="Z41" s="597">
        <f t="shared" si="3"/>
        <v>-0.11162583285371372</v>
      </c>
      <c r="AA41" s="597"/>
      <c r="AB41" s="236">
        <v>1</v>
      </c>
      <c r="AC41" s="225">
        <f t="shared" si="4"/>
        <v>-0.11236194467133022</v>
      </c>
      <c r="AD41" s="194"/>
      <c r="AE41" s="458">
        <v>0</v>
      </c>
      <c r="AJ41" s="593"/>
      <c r="AK41" s="481"/>
      <c r="AL41" s="129"/>
      <c r="AM41" s="129"/>
      <c r="AN41" s="129"/>
      <c r="AO41" s="129"/>
    </row>
    <row r="42" spans="1:41" ht="16" customHeight="1">
      <c r="A42" s="125">
        <v>2</v>
      </c>
      <c r="B42" s="125" t="s">
        <v>908</v>
      </c>
      <c r="C42" s="612" t="s">
        <v>1547</v>
      </c>
      <c r="D42" s="612" t="s">
        <v>1547</v>
      </c>
      <c r="E42" s="612"/>
      <c r="F42" s="612" t="s">
        <v>33</v>
      </c>
      <c r="G42" s="125">
        <v>2005</v>
      </c>
      <c r="H42" s="613" t="s">
        <v>2563</v>
      </c>
      <c r="I42" s="125" t="s">
        <v>2680</v>
      </c>
      <c r="J42" t="s">
        <v>961</v>
      </c>
      <c r="K42" s="108" t="s">
        <v>961</v>
      </c>
      <c r="L42" s="108" t="s">
        <v>1483</v>
      </c>
      <c r="M42" s="564"/>
      <c r="N42" s="187"/>
      <c r="O42" s="187"/>
      <c r="P42" s="152">
        <v>99.35</v>
      </c>
      <c r="Q42" s="148">
        <v>1.03</v>
      </c>
      <c r="R42" s="215">
        <v>25</v>
      </c>
      <c r="S42" s="149">
        <v>758.79</v>
      </c>
      <c r="T42" s="579"/>
      <c r="U42" s="153"/>
      <c r="V42" s="152">
        <v>99</v>
      </c>
      <c r="W42" s="150">
        <v>1.91</v>
      </c>
      <c r="X42" s="215">
        <v>25</v>
      </c>
      <c r="Y42" s="125"/>
      <c r="Z42" s="188">
        <f t="shared" si="3"/>
        <v>-0.22809653971329003</v>
      </c>
      <c r="AA42" s="188"/>
      <c r="AB42" s="129">
        <v>1</v>
      </c>
      <c r="AC42" s="223">
        <f t="shared" si="4"/>
        <v>-0.18036786272305841</v>
      </c>
      <c r="AD42" s="189"/>
      <c r="AE42" s="159">
        <v>1</v>
      </c>
      <c r="AF42" s="159"/>
      <c r="AG42" s="187"/>
      <c r="AH42" s="187"/>
      <c r="AI42" s="178"/>
      <c r="AJ42" s="604"/>
      <c r="AK42" s="147"/>
      <c r="AL42" s="129">
        <v>2</v>
      </c>
      <c r="AM42" s="129" t="s">
        <v>31</v>
      </c>
      <c r="AN42" s="125" t="s">
        <v>32</v>
      </c>
      <c r="AO42" s="129" t="s">
        <v>31</v>
      </c>
    </row>
    <row r="43" spans="1:41" ht="16" customHeight="1">
      <c r="A43" s="125">
        <v>6</v>
      </c>
      <c r="B43" s="125" t="s">
        <v>908</v>
      </c>
      <c r="C43" s="227" t="s">
        <v>1547</v>
      </c>
      <c r="D43" s="227" t="s">
        <v>1547</v>
      </c>
      <c r="E43" s="227"/>
      <c r="F43" s="227" t="s">
        <v>63</v>
      </c>
      <c r="G43" s="125">
        <v>2007</v>
      </c>
      <c r="H43" s="613" t="s">
        <v>2563</v>
      </c>
      <c r="I43" s="125" t="s">
        <v>2680</v>
      </c>
      <c r="J43" t="s">
        <v>961</v>
      </c>
      <c r="K43" s="108" t="s">
        <v>961</v>
      </c>
      <c r="L43" s="195" t="s">
        <v>1485</v>
      </c>
      <c r="M43" s="564"/>
      <c r="N43" s="187"/>
      <c r="O43" s="187"/>
      <c r="P43" s="152">
        <v>98</v>
      </c>
      <c r="Q43" s="148">
        <v>1.57</v>
      </c>
      <c r="R43" s="209">
        <v>25</v>
      </c>
      <c r="S43" s="149">
        <v>1285.68</v>
      </c>
      <c r="T43" s="584"/>
      <c r="U43" s="149"/>
      <c r="V43" s="152">
        <v>99.28</v>
      </c>
      <c r="W43" s="150">
        <v>1.59</v>
      </c>
      <c r="X43" s="209">
        <v>45</v>
      </c>
      <c r="Y43" s="125"/>
      <c r="Z43" s="188">
        <f t="shared" si="3"/>
        <v>0.81011035686900723</v>
      </c>
      <c r="AA43" s="188"/>
      <c r="AB43" s="129">
        <v>-1</v>
      </c>
      <c r="AC43" s="223">
        <f t="shared" si="4"/>
        <v>-0.79611965930980133</v>
      </c>
      <c r="AD43" s="189"/>
      <c r="AE43" s="159">
        <v>1</v>
      </c>
      <c r="AF43" s="159"/>
      <c r="AG43" s="187"/>
      <c r="AH43" s="187"/>
      <c r="AI43" s="178"/>
      <c r="AJ43" s="604"/>
      <c r="AK43" s="147"/>
      <c r="AL43" s="129">
        <v>2</v>
      </c>
      <c r="AM43" s="129" t="s">
        <v>31</v>
      </c>
      <c r="AN43" s="125" t="s">
        <v>32</v>
      </c>
      <c r="AO43" s="129" t="s">
        <v>31</v>
      </c>
    </row>
    <row r="44" spans="1:41" ht="16" customHeight="1">
      <c r="A44" s="125">
        <v>3</v>
      </c>
      <c r="B44" s="125" t="s">
        <v>908</v>
      </c>
      <c r="C44" s="612" t="s">
        <v>1547</v>
      </c>
      <c r="D44" s="612" t="s">
        <v>1547</v>
      </c>
      <c r="E44" s="612"/>
      <c r="F44" s="612" t="s">
        <v>33</v>
      </c>
      <c r="G44" s="125">
        <v>2005</v>
      </c>
      <c r="H44" s="611" t="s">
        <v>2496</v>
      </c>
      <c r="I44" s="11" t="s">
        <v>2680</v>
      </c>
      <c r="J44" t="s">
        <v>1419</v>
      </c>
      <c r="K44" s="108" t="s">
        <v>1419</v>
      </c>
      <c r="L44" s="195" t="s">
        <v>1487</v>
      </c>
      <c r="M44" s="564"/>
      <c r="N44" s="187"/>
      <c r="O44" s="187"/>
      <c r="P44" s="152">
        <v>0.45</v>
      </c>
      <c r="Q44" s="148">
        <v>0.06</v>
      </c>
      <c r="R44" s="215">
        <v>25</v>
      </c>
      <c r="S44" s="149">
        <v>758.79</v>
      </c>
      <c r="T44" s="579"/>
      <c r="U44" s="153"/>
      <c r="V44" s="152">
        <v>0.41</v>
      </c>
      <c r="W44" s="150">
        <v>0.04</v>
      </c>
      <c r="X44" s="215">
        <v>25</v>
      </c>
      <c r="Y44" s="125"/>
      <c r="Z44" s="188">
        <f t="shared" si="3"/>
        <v>-0.78446454055273684</v>
      </c>
      <c r="AA44" s="188"/>
      <c r="AB44" s="129">
        <v>1</v>
      </c>
      <c r="AC44" s="223">
        <f t="shared" si="4"/>
        <v>-0.98429319371727841</v>
      </c>
      <c r="AE44" s="159">
        <v>1</v>
      </c>
      <c r="AF44" s="159"/>
      <c r="AG44" s="187"/>
      <c r="AH44" s="187"/>
      <c r="AI44" s="178"/>
      <c r="AJ44" s="604"/>
      <c r="AK44" s="147"/>
      <c r="AL44" s="129">
        <v>2</v>
      </c>
      <c r="AM44" s="129" t="s">
        <v>31</v>
      </c>
      <c r="AN44" s="125" t="s">
        <v>32</v>
      </c>
      <c r="AO44" s="129" t="s">
        <v>31</v>
      </c>
    </row>
    <row r="45" spans="1:41" ht="16" customHeight="1">
      <c r="A45" s="125">
        <v>7</v>
      </c>
      <c r="B45" s="125" t="s">
        <v>908</v>
      </c>
      <c r="C45" s="227" t="s">
        <v>1547</v>
      </c>
      <c r="D45" s="227" t="s">
        <v>1547</v>
      </c>
      <c r="E45" s="227"/>
      <c r="F45" s="227" t="s">
        <v>63</v>
      </c>
      <c r="G45" s="125">
        <v>2007</v>
      </c>
      <c r="H45" s="611" t="s">
        <v>2496</v>
      </c>
      <c r="I45" s="11" t="s">
        <v>2680</v>
      </c>
      <c r="J45" t="s">
        <v>1419</v>
      </c>
      <c r="K45" s="108" t="s">
        <v>1419</v>
      </c>
      <c r="L45" s="195" t="s">
        <v>1487</v>
      </c>
      <c r="M45" s="564"/>
      <c r="N45" s="187"/>
      <c r="O45" s="187"/>
      <c r="P45" s="152">
        <v>0.49</v>
      </c>
      <c r="Q45" s="148">
        <v>7.0000000000000007E-2</v>
      </c>
      <c r="R45" s="209">
        <v>25</v>
      </c>
      <c r="S45" s="149">
        <v>1286.68</v>
      </c>
      <c r="T45" s="579"/>
      <c r="U45" s="149"/>
      <c r="V45" s="152">
        <v>0.43</v>
      </c>
      <c r="W45" s="150">
        <v>0.06</v>
      </c>
      <c r="X45" s="209">
        <v>45</v>
      </c>
      <c r="Y45" s="125"/>
      <c r="Z45" s="188">
        <f t="shared" si="3"/>
        <v>-0.92035798661684443</v>
      </c>
      <c r="AA45" s="188"/>
      <c r="AB45" s="129">
        <v>1</v>
      </c>
      <c r="AC45" s="223">
        <f t="shared" si="4"/>
        <v>-0.98892988929889303</v>
      </c>
      <c r="AD45" s="189"/>
      <c r="AE45" s="159">
        <v>1</v>
      </c>
      <c r="AF45" s="159"/>
      <c r="AG45" s="187"/>
      <c r="AH45" s="187"/>
      <c r="AI45" s="178"/>
      <c r="AJ45" s="604"/>
      <c r="AK45" s="147"/>
      <c r="AL45" s="129">
        <v>2</v>
      </c>
      <c r="AM45" s="129" t="s">
        <v>31</v>
      </c>
      <c r="AN45" s="125" t="s">
        <v>32</v>
      </c>
      <c r="AO45" s="129" t="s">
        <v>31</v>
      </c>
    </row>
    <row r="46" spans="1:41" ht="16" customHeight="1">
      <c r="A46" s="125">
        <v>14</v>
      </c>
      <c r="B46" s="125" t="s">
        <v>908</v>
      </c>
      <c r="C46" s="129" t="s">
        <v>1548</v>
      </c>
      <c r="D46" s="612" t="s">
        <v>1547</v>
      </c>
      <c r="E46" s="11" t="s">
        <v>2451</v>
      </c>
      <c r="F46" s="129" t="s">
        <v>2673</v>
      </c>
      <c r="G46" s="125">
        <v>2019</v>
      </c>
      <c r="H46" s="619" t="s">
        <v>2674</v>
      </c>
      <c r="I46" s="11" t="s">
        <v>2680</v>
      </c>
      <c r="J46" t="s">
        <v>961</v>
      </c>
      <c r="K46" s="108" t="s">
        <v>961</v>
      </c>
      <c r="L46" s="195" t="s">
        <v>2585</v>
      </c>
      <c r="M46" s="564"/>
      <c r="N46" s="187"/>
      <c r="O46" s="187"/>
      <c r="P46" s="620">
        <v>1.4</v>
      </c>
      <c r="Q46" s="148">
        <v>0.6</v>
      </c>
      <c r="R46" s="125">
        <v>22</v>
      </c>
      <c r="S46" s="149">
        <v>751.2</v>
      </c>
      <c r="T46" s="579"/>
      <c r="U46" s="149"/>
      <c r="V46" s="152">
        <v>1.3</v>
      </c>
      <c r="W46" s="150">
        <v>0.5</v>
      </c>
      <c r="X46" s="125">
        <v>25</v>
      </c>
      <c r="Y46" s="125"/>
      <c r="Z46" s="188">
        <f t="shared" si="3"/>
        <v>-0.18107149208503681</v>
      </c>
      <c r="AA46" s="188"/>
      <c r="AB46" s="129">
        <v>1</v>
      </c>
      <c r="AC46" s="223">
        <f>((V46-P46)/W46)*AB46* (1-(3/(4*(R46+X46-2)-1)))</f>
        <v>-0.19664804469273717</v>
      </c>
      <c r="AD46" s="189"/>
      <c r="AE46" s="159"/>
      <c r="AF46" s="159"/>
      <c r="AG46" s="187"/>
      <c r="AH46" s="187"/>
      <c r="AI46" s="178"/>
      <c r="AJ46" s="604"/>
      <c r="AK46" s="147"/>
      <c r="AL46" s="129"/>
      <c r="AM46" s="129"/>
      <c r="AN46" s="125"/>
      <c r="AO46" s="129"/>
    </row>
    <row r="47" spans="1:41" ht="16" customHeight="1">
      <c r="A47" s="125">
        <v>15</v>
      </c>
      <c r="B47" s="125" t="s">
        <v>908</v>
      </c>
      <c r="C47" s="129" t="s">
        <v>1548</v>
      </c>
      <c r="D47" s="612" t="s">
        <v>1547</v>
      </c>
      <c r="E47" s="11" t="s">
        <v>2451</v>
      </c>
      <c r="F47" s="129" t="s">
        <v>64</v>
      </c>
      <c r="G47" s="125">
        <v>2018</v>
      </c>
      <c r="H47" s="619" t="s">
        <v>2675</v>
      </c>
      <c r="I47" s="11" t="s">
        <v>2680</v>
      </c>
      <c r="J47" t="s">
        <v>1419</v>
      </c>
      <c r="K47" s="108" t="s">
        <v>1419</v>
      </c>
      <c r="L47" s="195" t="s">
        <v>65</v>
      </c>
      <c r="M47" s="564"/>
      <c r="N47" s="187"/>
      <c r="O47" s="187"/>
      <c r="P47" s="621">
        <v>24.9</v>
      </c>
      <c r="Q47" s="148">
        <v>21.9</v>
      </c>
      <c r="R47" s="125">
        <v>22</v>
      </c>
      <c r="S47" s="149">
        <v>751.2</v>
      </c>
      <c r="T47" s="579"/>
      <c r="U47" s="149"/>
      <c r="V47" s="152">
        <v>16</v>
      </c>
      <c r="W47" s="150">
        <v>7.8</v>
      </c>
      <c r="X47" s="125">
        <v>25</v>
      </c>
      <c r="Y47" s="125"/>
      <c r="Z47" s="188"/>
      <c r="AA47" s="188"/>
      <c r="AB47" s="129">
        <v>1</v>
      </c>
      <c r="AC47" s="223">
        <f>((V47-P47)/W47)*AB47* (1-(3/(4*(R47+X47-2)-1)))</f>
        <v>-1.1219023062598481</v>
      </c>
      <c r="AD47" s="189"/>
      <c r="AE47" s="159"/>
      <c r="AF47" s="159"/>
      <c r="AG47" s="187"/>
      <c r="AH47" s="187"/>
      <c r="AI47" s="178"/>
      <c r="AJ47" s="604"/>
      <c r="AK47" s="147"/>
      <c r="AL47" s="129">
        <v>1</v>
      </c>
      <c r="AM47" s="129" t="s">
        <v>48</v>
      </c>
      <c r="AN47" s="125" t="s">
        <v>32</v>
      </c>
      <c r="AO47" s="129" t="s">
        <v>41</v>
      </c>
    </row>
    <row r="48" spans="1:41" s="3" customFormat="1" ht="16" customHeight="1">
      <c r="A48" s="125">
        <v>32</v>
      </c>
      <c r="B48" s="125" t="s">
        <v>908</v>
      </c>
      <c r="C48" s="11" t="s">
        <v>1547</v>
      </c>
      <c r="D48" s="611" t="s">
        <v>1547</v>
      </c>
      <c r="E48" s="611"/>
      <c r="F48" s="612" t="s">
        <v>2459</v>
      </c>
      <c r="G48" s="613">
        <v>2017</v>
      </c>
      <c r="H48" s="611" t="s">
        <v>2454</v>
      </c>
      <c r="I48" s="11" t="s">
        <v>2680</v>
      </c>
      <c r="J48" t="s">
        <v>961</v>
      </c>
      <c r="K48" s="108" t="s">
        <v>961</v>
      </c>
      <c r="L48" s="195" t="s">
        <v>1516</v>
      </c>
      <c r="M48" s="564" t="s">
        <v>1520</v>
      </c>
      <c r="N48" s="187"/>
      <c r="O48" s="187"/>
      <c r="P48" s="152">
        <v>0</v>
      </c>
      <c r="Q48" s="148">
        <v>0.18</v>
      </c>
      <c r="R48" s="11">
        <v>37</v>
      </c>
      <c r="S48" s="149">
        <v>720</v>
      </c>
      <c r="T48" s="579"/>
      <c r="U48" s="149"/>
      <c r="V48" s="152">
        <v>0.03</v>
      </c>
      <c r="W48" s="147">
        <v>0.18</v>
      </c>
      <c r="X48" s="209">
        <v>30</v>
      </c>
      <c r="Y48" s="125"/>
      <c r="Z48" s="188" t="e">
        <f>(V51-#REF!)/SQRT((W51^2+#REF!^2)/2)</f>
        <v>#REF!</v>
      </c>
      <c r="AA48" s="188"/>
      <c r="AB48" s="129">
        <v>1</v>
      </c>
      <c r="AC48" s="223">
        <f>((V48-P48)/W48)*AB48* (1-(3/(4*(Q48+X48-2)-1)))</f>
        <v>0.16219119226638024</v>
      </c>
      <c r="AD48" s="193"/>
      <c r="AE48" s="159">
        <v>1</v>
      </c>
      <c r="AF48" s="159"/>
      <c r="AG48"/>
      <c r="AH48"/>
      <c r="AI48"/>
      <c r="AJ48" s="593"/>
      <c r="AK48" s="481"/>
      <c r="AL48" s="129">
        <v>1</v>
      </c>
      <c r="AM48" s="129" t="s">
        <v>48</v>
      </c>
      <c r="AN48" s="125" t="s">
        <v>32</v>
      </c>
      <c r="AO48" s="129" t="s">
        <v>41</v>
      </c>
    </row>
    <row r="49" spans="1:41" ht="16" customHeight="1">
      <c r="A49" s="125">
        <v>33</v>
      </c>
      <c r="B49" s="125" t="s">
        <v>908</v>
      </c>
      <c r="C49" s="129" t="s">
        <v>1547</v>
      </c>
      <c r="D49" s="612" t="s">
        <v>1547</v>
      </c>
      <c r="E49" s="612"/>
      <c r="F49" s="612" t="s">
        <v>2459</v>
      </c>
      <c r="G49" s="613">
        <v>2017</v>
      </c>
      <c r="H49" s="611" t="s">
        <v>1527</v>
      </c>
      <c r="I49" s="11" t="s">
        <v>2680</v>
      </c>
      <c r="J49" t="s">
        <v>1419</v>
      </c>
      <c r="K49" s="108" t="s">
        <v>1419</v>
      </c>
      <c r="L49" s="195" t="s">
        <v>1517</v>
      </c>
      <c r="M49" s="564" t="s">
        <v>1520</v>
      </c>
      <c r="N49" s="187"/>
      <c r="O49" s="187"/>
      <c r="P49" s="152">
        <v>710.9</v>
      </c>
      <c r="Q49" s="150">
        <v>135.13</v>
      </c>
      <c r="R49" s="209">
        <v>37</v>
      </c>
      <c r="S49" s="149">
        <v>720</v>
      </c>
      <c r="T49" s="579"/>
      <c r="U49" s="149"/>
      <c r="V49" s="152">
        <v>599.16999999999996</v>
      </c>
      <c r="W49" s="148">
        <v>91.82</v>
      </c>
      <c r="X49" s="209">
        <v>30</v>
      </c>
      <c r="Y49" s="125"/>
      <c r="Z49" s="188">
        <f>(P49-V49)/SQRT((Q49^2+W49^2)/2)</f>
        <v>0.96716848255136545</v>
      </c>
      <c r="AA49" s="188"/>
      <c r="AB49" s="129">
        <v>1</v>
      </c>
      <c r="AC49" s="223">
        <f>((P49-V49)/Q49)*AB49 * (1-(3/(4*(R49+X49-2)-1)))</f>
        <v>0.8172561985926895</v>
      </c>
      <c r="AD49" s="189"/>
      <c r="AE49" s="159">
        <v>1</v>
      </c>
      <c r="AF49" s="159"/>
      <c r="AG49" s="187"/>
      <c r="AH49" s="187"/>
      <c r="AI49" s="178"/>
      <c r="AJ49" s="604"/>
      <c r="AK49" s="147"/>
      <c r="AL49" s="129">
        <v>1</v>
      </c>
      <c r="AM49" s="129" t="s">
        <v>48</v>
      </c>
      <c r="AN49" s="125" t="s">
        <v>32</v>
      </c>
      <c r="AO49" s="129" t="s">
        <v>41</v>
      </c>
    </row>
    <row r="50" spans="1:41" ht="12.75" customHeight="1">
      <c r="A50" s="125">
        <v>55</v>
      </c>
      <c r="B50" s="11" t="s">
        <v>1353</v>
      </c>
      <c r="C50" s="11" t="s">
        <v>1548</v>
      </c>
      <c r="D50" s="11" t="s">
        <v>1548</v>
      </c>
      <c r="E50" s="11" t="s">
        <v>2451</v>
      </c>
      <c r="F50" s="11" t="s">
        <v>1397</v>
      </c>
      <c r="G50" s="11">
        <v>2006</v>
      </c>
      <c r="H50" s="11" t="s">
        <v>665</v>
      </c>
      <c r="J50" t="s">
        <v>961</v>
      </c>
      <c r="K50" s="108" t="s">
        <v>961</v>
      </c>
      <c r="L50" s="108" t="s">
        <v>671</v>
      </c>
      <c r="N50" s="510"/>
      <c r="P50" s="157">
        <v>12.1</v>
      </c>
      <c r="Q50" s="150">
        <v>11.5</v>
      </c>
      <c r="R50" s="209">
        <v>26</v>
      </c>
      <c r="S50" s="159">
        <v>423.8</v>
      </c>
      <c r="T50" s="578">
        <v>339</v>
      </c>
      <c r="V50" s="157">
        <v>8.9</v>
      </c>
      <c r="W50" s="150">
        <v>7.6</v>
      </c>
      <c r="X50" s="209">
        <v>25</v>
      </c>
      <c r="AB50" s="11">
        <v>1</v>
      </c>
      <c r="AC50" s="223">
        <f>((V50-P50)/W50)*AB50* (1-(3/(4*(R50+X50-2)-1)))</f>
        <v>-0.41457489878542503</v>
      </c>
      <c r="AD50" s="189"/>
      <c r="AE50" s="159">
        <v>1</v>
      </c>
      <c r="AF50" s="159"/>
      <c r="AG50">
        <v>11.2</v>
      </c>
      <c r="AH50">
        <v>3.1</v>
      </c>
      <c r="AJ50" s="593">
        <v>11.3</v>
      </c>
      <c r="AK50" s="481">
        <v>3.4</v>
      </c>
      <c r="AL50" s="11"/>
      <c r="AM50" s="11"/>
      <c r="AN50" s="11"/>
      <c r="AO50" s="11"/>
    </row>
    <row r="51" spans="1:41" ht="16" customHeight="1">
      <c r="A51" s="125">
        <v>56</v>
      </c>
      <c r="B51" s="11" t="s">
        <v>1353</v>
      </c>
      <c r="C51" s="11" t="s">
        <v>1548</v>
      </c>
      <c r="D51" s="11" t="s">
        <v>1548</v>
      </c>
      <c r="E51" s="11" t="s">
        <v>2451</v>
      </c>
      <c r="F51" s="11" t="s">
        <v>1397</v>
      </c>
      <c r="G51" s="11">
        <v>2006</v>
      </c>
      <c r="H51" s="11" t="s">
        <v>665</v>
      </c>
      <c r="J51" t="s">
        <v>1419</v>
      </c>
      <c r="K51" s="108" t="s">
        <v>1419</v>
      </c>
      <c r="L51" s="108" t="s">
        <v>672</v>
      </c>
      <c r="N51" s="510"/>
      <c r="P51" s="157">
        <v>392</v>
      </c>
      <c r="Q51" s="150">
        <v>77</v>
      </c>
      <c r="R51" s="209">
        <v>26</v>
      </c>
      <c r="S51" s="159">
        <v>423.8</v>
      </c>
      <c r="T51" s="578">
        <v>339</v>
      </c>
      <c r="V51" s="157">
        <v>353</v>
      </c>
      <c r="W51" s="150">
        <v>65</v>
      </c>
      <c r="X51" s="209">
        <v>25</v>
      </c>
      <c r="AB51" s="11">
        <v>1</v>
      </c>
      <c r="AC51" s="223">
        <f>((V51-P51)/W51)*AB51* (1-(3/(4*(R51+X51-2)-1)))</f>
        <v>-0.59076923076923082</v>
      </c>
      <c r="AD51" s="189"/>
      <c r="AE51" s="159">
        <v>1</v>
      </c>
      <c r="AF51" s="159"/>
      <c r="AG51">
        <v>11.2</v>
      </c>
      <c r="AH51">
        <v>3.1</v>
      </c>
      <c r="AJ51" s="593">
        <v>11.3</v>
      </c>
      <c r="AK51" s="481">
        <v>3.4</v>
      </c>
      <c r="AL51" s="11"/>
      <c r="AM51" s="11"/>
      <c r="AN51" s="11"/>
      <c r="AO51" s="11"/>
    </row>
    <row r="52" spans="1:41" ht="16" customHeight="1">
      <c r="A52" s="125">
        <v>51</v>
      </c>
      <c r="B52" s="11" t="s">
        <v>1353</v>
      </c>
      <c r="C52" s="11" t="s">
        <v>1548</v>
      </c>
      <c r="D52" s="11" t="s">
        <v>1548</v>
      </c>
      <c r="E52" s="11" t="s">
        <v>2451</v>
      </c>
      <c r="F52" s="11" t="s">
        <v>2461</v>
      </c>
      <c r="G52" s="11">
        <v>2002</v>
      </c>
      <c r="H52" s="11" t="s">
        <v>1266</v>
      </c>
      <c r="J52" t="s">
        <v>961</v>
      </c>
      <c r="K52" s="108" t="s">
        <v>961</v>
      </c>
      <c r="L52" s="108" t="s">
        <v>1215</v>
      </c>
      <c r="N52" s="510"/>
      <c r="P52" s="157">
        <v>7.77</v>
      </c>
      <c r="Q52" s="150">
        <v>5.6999999999999993</v>
      </c>
      <c r="R52" s="209">
        <v>36</v>
      </c>
      <c r="V52" s="573">
        <v>3.52</v>
      </c>
      <c r="W52" s="150">
        <v>3.96</v>
      </c>
      <c r="X52" s="209">
        <v>69</v>
      </c>
      <c r="AB52" s="11">
        <v>1</v>
      </c>
      <c r="AC52" s="223">
        <f>((V52-P52)/W52)*AB52 * (1-(3/(4*(R52+X52-2)-1)))</f>
        <v>-1.0653985106539852</v>
      </c>
      <c r="AD52" s="193"/>
      <c r="AE52" s="159">
        <v>1</v>
      </c>
      <c r="AF52" s="159"/>
      <c r="AG52" s="146">
        <v>11.18</v>
      </c>
      <c r="AH52" s="146">
        <v>3.4</v>
      </c>
      <c r="AI52" s="593"/>
      <c r="AJ52" s="186">
        <v>10.29</v>
      </c>
      <c r="AK52" s="31">
        <v>3.1</v>
      </c>
      <c r="AL52" s="11"/>
      <c r="AM52" s="11"/>
      <c r="AN52" s="11"/>
      <c r="AO52" s="11"/>
    </row>
    <row r="53" spans="1:41" ht="16" customHeight="1">
      <c r="A53" s="125">
        <v>52</v>
      </c>
      <c r="B53" s="11" t="s">
        <v>1353</v>
      </c>
      <c r="C53" s="11" t="s">
        <v>1548</v>
      </c>
      <c r="D53" s="11" t="s">
        <v>1548</v>
      </c>
      <c r="E53" s="11" t="s">
        <v>2451</v>
      </c>
      <c r="F53" s="11" t="s">
        <v>2461</v>
      </c>
      <c r="G53" s="11">
        <v>2002</v>
      </c>
      <c r="H53" s="11" t="s">
        <v>1266</v>
      </c>
      <c r="J53" t="s">
        <v>1419</v>
      </c>
      <c r="K53" s="108" t="s">
        <v>1419</v>
      </c>
      <c r="L53" s="108" t="s">
        <v>1354</v>
      </c>
      <c r="N53" s="510"/>
      <c r="P53" s="157">
        <v>160.4</v>
      </c>
      <c r="Q53" s="150">
        <v>44.400000000000006</v>
      </c>
      <c r="R53" s="209">
        <v>36</v>
      </c>
      <c r="V53" s="573">
        <v>133.41</v>
      </c>
      <c r="W53" s="150">
        <v>30.660000000000004</v>
      </c>
      <c r="X53" s="209">
        <v>69</v>
      </c>
      <c r="AB53" s="11">
        <v>1</v>
      </c>
      <c r="AC53" s="223">
        <f>((V53-P53)/W53)*AB53 * (1-(3/(4*(R53+X53-2)-1)))</f>
        <v>-0.87387451731017385</v>
      </c>
      <c r="AD53" s="193"/>
      <c r="AE53" s="159">
        <v>1</v>
      </c>
      <c r="AF53" s="159"/>
      <c r="AG53" s="146">
        <v>11.18</v>
      </c>
      <c r="AH53" s="146">
        <v>3.4</v>
      </c>
      <c r="AI53" s="593"/>
      <c r="AJ53" s="186">
        <v>10.29</v>
      </c>
      <c r="AK53" s="31">
        <v>3.1</v>
      </c>
      <c r="AL53" s="11"/>
      <c r="AM53" s="11"/>
      <c r="AN53" s="11"/>
      <c r="AO53" s="11"/>
    </row>
    <row r="54" spans="1:41" ht="16" customHeight="1">
      <c r="A54" s="125">
        <v>53</v>
      </c>
      <c r="B54" s="11" t="s">
        <v>1353</v>
      </c>
      <c r="C54" s="11" t="s">
        <v>1548</v>
      </c>
      <c r="D54" s="11" t="s">
        <v>1548</v>
      </c>
      <c r="E54" s="11" t="s">
        <v>2451</v>
      </c>
      <c r="F54" s="11" t="s">
        <v>2461</v>
      </c>
      <c r="G54" s="11">
        <v>2002</v>
      </c>
      <c r="H54" s="11" t="s">
        <v>1266</v>
      </c>
      <c r="L54" s="108" t="s">
        <v>1364</v>
      </c>
      <c r="N54" s="510"/>
      <c r="P54" s="157">
        <v>3.84</v>
      </c>
      <c r="Q54" s="150">
        <v>3</v>
      </c>
      <c r="R54" s="209">
        <v>36</v>
      </c>
      <c r="V54" s="573">
        <v>2.66</v>
      </c>
      <c r="W54" s="150">
        <v>2.0999999999999996</v>
      </c>
      <c r="X54" s="209">
        <v>69</v>
      </c>
      <c r="AB54" s="11">
        <v>1</v>
      </c>
      <c r="AC54" s="223">
        <f>((V54-P54)/W54)*AB54 * (1-(3/(4*(R54+X54-2)-1)))</f>
        <v>-0.55780326729231844</v>
      </c>
      <c r="AD54" s="193"/>
      <c r="AE54" s="159">
        <v>1</v>
      </c>
      <c r="AF54" s="159"/>
      <c r="AG54" s="146">
        <v>11.18</v>
      </c>
      <c r="AH54" s="146">
        <v>3.4</v>
      </c>
      <c r="AI54" s="593"/>
      <c r="AJ54" s="186">
        <v>10.29</v>
      </c>
      <c r="AK54" s="31">
        <v>3.1</v>
      </c>
      <c r="AL54" s="11"/>
      <c r="AM54" s="11"/>
      <c r="AN54" s="11"/>
      <c r="AO54" s="11"/>
    </row>
    <row r="55" spans="1:41" ht="16" customHeight="1">
      <c r="A55" s="125">
        <v>59</v>
      </c>
      <c r="B55" s="11" t="s">
        <v>1353</v>
      </c>
      <c r="C55" s="129" t="s">
        <v>1548</v>
      </c>
      <c r="D55" s="612" t="s">
        <v>1548</v>
      </c>
      <c r="E55" s="611" t="s">
        <v>2451</v>
      </c>
      <c r="F55" s="611" t="s">
        <v>1397</v>
      </c>
      <c r="G55" s="611">
        <v>2006</v>
      </c>
      <c r="H55" s="613" t="s">
        <v>2035</v>
      </c>
      <c r="I55" s="125" t="s">
        <v>2679</v>
      </c>
      <c r="J55" t="s">
        <v>961</v>
      </c>
      <c r="K55" s="108" t="s">
        <v>961</v>
      </c>
      <c r="L55" s="108" t="s">
        <v>671</v>
      </c>
      <c r="N55" s="510"/>
      <c r="P55" s="157">
        <v>7.1</v>
      </c>
      <c r="Q55" s="150">
        <v>8.9</v>
      </c>
      <c r="R55" s="209">
        <v>26</v>
      </c>
      <c r="S55" s="159">
        <v>423.8</v>
      </c>
      <c r="T55" s="578">
        <v>339</v>
      </c>
      <c r="V55" s="157">
        <v>8.9</v>
      </c>
      <c r="W55" s="150">
        <v>7.5</v>
      </c>
      <c r="X55" s="209">
        <v>25</v>
      </c>
      <c r="AB55" s="11">
        <v>1</v>
      </c>
      <c r="AC55" s="223">
        <f t="shared" ref="AC55:AC65" si="5">((V55-P55)/W55)*AB55* (1-(3/(4*(R55+X55-2)-1)))</f>
        <v>0.23630769230769241</v>
      </c>
      <c r="AD55" s="189"/>
      <c r="AE55" s="159">
        <v>1</v>
      </c>
      <c r="AF55" s="159"/>
      <c r="AG55">
        <v>11.2</v>
      </c>
      <c r="AH55">
        <v>3.1</v>
      </c>
      <c r="AJ55" s="593">
        <v>11.3</v>
      </c>
      <c r="AK55" s="481">
        <v>3.4</v>
      </c>
      <c r="AL55" s="11"/>
      <c r="AM55" s="11"/>
      <c r="AN55" s="11"/>
      <c r="AO55" s="11"/>
    </row>
    <row r="56" spans="1:41" ht="16" customHeight="1">
      <c r="A56" s="125">
        <v>60</v>
      </c>
      <c r="B56" s="11" t="s">
        <v>1353</v>
      </c>
      <c r="C56" s="129" t="s">
        <v>1548</v>
      </c>
      <c r="D56" s="612" t="s">
        <v>1548</v>
      </c>
      <c r="E56" s="611" t="s">
        <v>2451</v>
      </c>
      <c r="F56" s="611" t="s">
        <v>1397</v>
      </c>
      <c r="G56" s="611">
        <v>2006</v>
      </c>
      <c r="H56" s="613" t="s">
        <v>2035</v>
      </c>
      <c r="I56" s="125" t="s">
        <v>2679</v>
      </c>
      <c r="J56" t="s">
        <v>1419</v>
      </c>
      <c r="K56" s="108" t="s">
        <v>1419</v>
      </c>
      <c r="L56" s="108" t="s">
        <v>672</v>
      </c>
      <c r="N56" s="510"/>
      <c r="P56" s="157">
        <v>777</v>
      </c>
      <c r="Q56" s="150">
        <v>219</v>
      </c>
      <c r="R56" s="209">
        <v>26</v>
      </c>
      <c r="S56" s="159">
        <v>423.8</v>
      </c>
      <c r="T56" s="578">
        <v>339</v>
      </c>
      <c r="V56" s="157">
        <v>736</v>
      </c>
      <c r="W56" s="150">
        <v>231</v>
      </c>
      <c r="X56" s="209">
        <v>25</v>
      </c>
      <c r="AB56" s="11">
        <v>1</v>
      </c>
      <c r="AC56" s="223">
        <f t="shared" si="5"/>
        <v>-0.17475857475857479</v>
      </c>
      <c r="AD56" s="189"/>
      <c r="AE56" s="159">
        <v>1</v>
      </c>
      <c r="AF56" s="159"/>
      <c r="AG56">
        <v>11.2</v>
      </c>
      <c r="AH56">
        <v>3.1</v>
      </c>
      <c r="AJ56" s="593">
        <v>11.3</v>
      </c>
      <c r="AK56" s="481">
        <v>3.4</v>
      </c>
      <c r="AL56" s="11"/>
      <c r="AM56" s="11"/>
      <c r="AN56" s="11"/>
      <c r="AO56" s="11"/>
    </row>
    <row r="57" spans="1:41" ht="16" customHeight="1">
      <c r="A57" s="125">
        <v>78</v>
      </c>
      <c r="B57" s="11" t="s">
        <v>1353</v>
      </c>
      <c r="C57" s="129" t="s">
        <v>1548</v>
      </c>
      <c r="D57" s="612" t="s">
        <v>1548</v>
      </c>
      <c r="E57" s="611" t="s">
        <v>2451</v>
      </c>
      <c r="F57" s="611" t="s">
        <v>1490</v>
      </c>
      <c r="G57" s="611">
        <v>2014</v>
      </c>
      <c r="H57" s="613" t="s">
        <v>2035</v>
      </c>
      <c r="I57" s="125" t="s">
        <v>2679</v>
      </c>
      <c r="L57" s="108" t="s">
        <v>1270</v>
      </c>
      <c r="M57" s="514" t="s">
        <v>1509</v>
      </c>
      <c r="N57" s="510"/>
      <c r="P57" s="157">
        <v>7.1</v>
      </c>
      <c r="Q57" s="150">
        <v>7.7</v>
      </c>
      <c r="R57" s="209">
        <v>21</v>
      </c>
      <c r="S57" s="159">
        <v>590</v>
      </c>
      <c r="T57" s="578">
        <v>248</v>
      </c>
      <c r="V57" s="157">
        <v>4.2</v>
      </c>
      <c r="W57" s="150">
        <v>3.7</v>
      </c>
      <c r="X57" s="209">
        <v>73</v>
      </c>
      <c r="AB57" s="11">
        <v>1</v>
      </c>
      <c r="AC57" s="223">
        <f t="shared" si="5"/>
        <v>-0.77737683187274442</v>
      </c>
      <c r="AD57" s="189"/>
      <c r="AE57" s="159">
        <v>1</v>
      </c>
      <c r="AF57" s="159"/>
      <c r="AG57">
        <v>10.6</v>
      </c>
      <c r="AH57">
        <v>2.5</v>
      </c>
      <c r="AJ57" s="593">
        <v>10.9</v>
      </c>
      <c r="AK57" s="481">
        <v>2.2000000000000002</v>
      </c>
      <c r="AL57" s="11"/>
      <c r="AM57" s="11"/>
      <c r="AN57" s="11"/>
      <c r="AO57" s="11"/>
    </row>
    <row r="58" spans="1:41" ht="16" customHeight="1">
      <c r="A58" s="125">
        <v>62</v>
      </c>
      <c r="B58" s="11" t="s">
        <v>1353</v>
      </c>
      <c r="C58" s="129" t="s">
        <v>1548</v>
      </c>
      <c r="D58" s="129" t="s">
        <v>1548</v>
      </c>
      <c r="E58" s="11" t="s">
        <v>2451</v>
      </c>
      <c r="F58" s="11" t="s">
        <v>1397</v>
      </c>
      <c r="G58" s="11">
        <v>2006</v>
      </c>
      <c r="H58" s="125" t="s">
        <v>2035</v>
      </c>
      <c r="I58" s="125"/>
      <c r="J58" s="178"/>
      <c r="K58" s="125"/>
      <c r="L58" s="108" t="s">
        <v>1215</v>
      </c>
      <c r="N58" t="s">
        <v>667</v>
      </c>
      <c r="P58" s="157">
        <v>2.2000000000000002</v>
      </c>
      <c r="Q58" s="150">
        <v>3.2</v>
      </c>
      <c r="R58" s="209">
        <v>26</v>
      </c>
      <c r="S58" s="159">
        <v>423.8</v>
      </c>
      <c r="T58" s="578">
        <v>339</v>
      </c>
      <c r="V58" s="157">
        <v>1.6</v>
      </c>
      <c r="W58" s="150">
        <v>2.2999999999999998</v>
      </c>
      <c r="X58" s="209">
        <v>25</v>
      </c>
      <c r="Y58" s="125"/>
      <c r="AB58" s="11">
        <v>1</v>
      </c>
      <c r="AC58" s="223">
        <f t="shared" si="5"/>
        <v>-0.25685618729096998</v>
      </c>
      <c r="AD58" s="189"/>
      <c r="AE58" s="159">
        <v>1</v>
      </c>
      <c r="AF58" s="159"/>
      <c r="AG58">
        <v>11.2</v>
      </c>
      <c r="AH58">
        <v>3.1</v>
      </c>
      <c r="AJ58" s="593">
        <v>11.3</v>
      </c>
      <c r="AK58" s="481">
        <v>3.4</v>
      </c>
      <c r="AL58" s="11"/>
      <c r="AM58" s="11"/>
      <c r="AN58" s="11"/>
      <c r="AO58" s="11"/>
    </row>
    <row r="59" spans="1:41" ht="16" customHeight="1">
      <c r="A59" s="125">
        <v>64</v>
      </c>
      <c r="B59" s="11" t="s">
        <v>1353</v>
      </c>
      <c r="C59" s="11" t="s">
        <v>1548</v>
      </c>
      <c r="D59" s="11" t="s">
        <v>1548</v>
      </c>
      <c r="E59" s="11" t="s">
        <v>2451</v>
      </c>
      <c r="F59" s="11" t="s">
        <v>1397</v>
      </c>
      <c r="G59" s="11">
        <v>2006</v>
      </c>
      <c r="H59" s="11" t="s">
        <v>2025</v>
      </c>
      <c r="J59" t="s">
        <v>961</v>
      </c>
      <c r="K59" s="108" t="s">
        <v>961</v>
      </c>
      <c r="L59" s="108" t="s">
        <v>671</v>
      </c>
      <c r="N59" s="510"/>
      <c r="P59" s="157">
        <v>31.7</v>
      </c>
      <c r="Q59" s="150">
        <v>17.399999999999999</v>
      </c>
      <c r="R59" s="209">
        <v>26</v>
      </c>
      <c r="S59" s="159">
        <v>423.8</v>
      </c>
      <c r="T59" s="578">
        <v>339</v>
      </c>
      <c r="V59" s="157">
        <v>25.1</v>
      </c>
      <c r="W59" s="150">
        <v>14.4</v>
      </c>
      <c r="X59" s="209">
        <v>25</v>
      </c>
      <c r="AB59" s="11">
        <v>1</v>
      </c>
      <c r="AC59" s="223">
        <f t="shared" si="5"/>
        <v>-0.45128205128205112</v>
      </c>
      <c r="AD59" s="189"/>
      <c r="AE59" s="159">
        <v>1</v>
      </c>
      <c r="AF59" s="159"/>
      <c r="AG59">
        <v>11.2</v>
      </c>
      <c r="AH59">
        <v>3.1</v>
      </c>
      <c r="AJ59" s="593">
        <v>11.3</v>
      </c>
      <c r="AK59" s="481">
        <v>3.4</v>
      </c>
      <c r="AL59" s="11"/>
      <c r="AM59" s="11"/>
      <c r="AN59" s="11"/>
      <c r="AO59" s="11"/>
    </row>
    <row r="60" spans="1:41" ht="16" customHeight="1">
      <c r="A60" s="125">
        <v>65</v>
      </c>
      <c r="B60" s="11" t="s">
        <v>1353</v>
      </c>
      <c r="C60" s="11" t="s">
        <v>1548</v>
      </c>
      <c r="D60" s="11" t="s">
        <v>1548</v>
      </c>
      <c r="E60" s="11" t="s">
        <v>2451</v>
      </c>
      <c r="F60" s="11" t="s">
        <v>1397</v>
      </c>
      <c r="G60" s="11">
        <v>2006</v>
      </c>
      <c r="H60" s="11" t="s">
        <v>2025</v>
      </c>
      <c r="J60" t="s">
        <v>1419</v>
      </c>
      <c r="K60" s="108" t="s">
        <v>1419</v>
      </c>
      <c r="L60" s="108" t="s">
        <v>672</v>
      </c>
      <c r="N60" s="510"/>
      <c r="P60" s="157">
        <v>443</v>
      </c>
      <c r="Q60" s="150">
        <v>67</v>
      </c>
      <c r="R60" s="209">
        <v>26</v>
      </c>
      <c r="S60" s="159">
        <v>423.8</v>
      </c>
      <c r="T60" s="578">
        <v>339</v>
      </c>
      <c r="V60" s="157">
        <v>439</v>
      </c>
      <c r="W60" s="150">
        <v>79</v>
      </c>
      <c r="X60" s="209">
        <v>25</v>
      </c>
      <c r="AB60" s="11">
        <v>1</v>
      </c>
      <c r="AC60" s="223">
        <f t="shared" si="5"/>
        <v>-4.9853943524829601E-2</v>
      </c>
      <c r="AD60" s="189"/>
      <c r="AE60" s="159">
        <v>1</v>
      </c>
      <c r="AF60" s="159"/>
      <c r="AG60">
        <v>11.2</v>
      </c>
      <c r="AH60">
        <v>3.1</v>
      </c>
      <c r="AJ60" s="593">
        <v>11.3</v>
      </c>
      <c r="AK60" s="481">
        <v>3.4</v>
      </c>
      <c r="AL60" s="11"/>
      <c r="AM60" s="11"/>
      <c r="AN60" s="11"/>
      <c r="AO60" s="11"/>
    </row>
    <row r="61" spans="1:41" ht="16" customHeight="1">
      <c r="A61" s="125">
        <v>88</v>
      </c>
      <c r="B61" s="31" t="s">
        <v>1353</v>
      </c>
      <c r="C61" s="11" t="s">
        <v>1548</v>
      </c>
      <c r="D61" s="11" t="s">
        <v>1548</v>
      </c>
      <c r="E61" s="11" t="s">
        <v>2451</v>
      </c>
      <c r="F61" s="31" t="s">
        <v>1500</v>
      </c>
      <c r="G61" s="31">
        <v>2020</v>
      </c>
      <c r="H61" s="31" t="s">
        <v>2486</v>
      </c>
      <c r="I61" s="31"/>
      <c r="J61" s="3"/>
      <c r="K61" s="135"/>
      <c r="L61" s="135" t="s">
        <v>1440</v>
      </c>
      <c r="M61" s="122" t="s">
        <v>1441</v>
      </c>
      <c r="O61" t="s">
        <v>1436</v>
      </c>
      <c r="P61" s="156">
        <v>7</v>
      </c>
      <c r="Q61" s="161">
        <f>(11-3)/4</f>
        <v>2</v>
      </c>
      <c r="R61" s="213">
        <v>15</v>
      </c>
      <c r="S61" s="159">
        <v>289</v>
      </c>
      <c r="T61" s="578">
        <v>82.8</v>
      </c>
      <c r="U61" s="31"/>
      <c r="V61" s="156">
        <v>10</v>
      </c>
      <c r="W61" s="28">
        <f>(14-6)/4</f>
        <v>2</v>
      </c>
      <c r="X61" s="213">
        <v>14</v>
      </c>
      <c r="Y61" s="162"/>
      <c r="Z61" s="3"/>
      <c r="AA61" s="3"/>
      <c r="AB61" s="31">
        <v>-1</v>
      </c>
      <c r="AC61" s="223">
        <f t="shared" si="5"/>
        <v>-1.4579439252336448</v>
      </c>
      <c r="AD61" s="192"/>
      <c r="AE61" s="159">
        <v>1</v>
      </c>
      <c r="AF61" s="159"/>
      <c r="AG61" s="3"/>
      <c r="AH61" s="3"/>
      <c r="AI61" s="3"/>
      <c r="AJ61" s="45"/>
      <c r="AK61" s="28"/>
      <c r="AL61" s="31"/>
      <c r="AM61" s="31"/>
      <c r="AN61" s="31"/>
      <c r="AO61" s="31"/>
    </row>
    <row r="62" spans="1:41" ht="16" customHeight="1">
      <c r="A62" s="125">
        <v>68</v>
      </c>
      <c r="B62" s="458" t="s">
        <v>1353</v>
      </c>
      <c r="C62" s="458" t="s">
        <v>1548</v>
      </c>
      <c r="D62" s="458" t="s">
        <v>1548</v>
      </c>
      <c r="E62" s="458"/>
      <c r="F62" s="458" t="s">
        <v>1932</v>
      </c>
      <c r="G62" s="458">
        <v>2023</v>
      </c>
      <c r="H62" s="458" t="s">
        <v>1661</v>
      </c>
      <c r="J62" s="508"/>
      <c r="K62" s="461"/>
      <c r="L62" s="461" t="s">
        <v>60</v>
      </c>
      <c r="M62" s="568" t="s">
        <v>1660</v>
      </c>
      <c r="N62" s="508" t="s">
        <v>1631</v>
      </c>
      <c r="O62" s="234" t="s">
        <v>1740</v>
      </c>
      <c r="P62" s="571">
        <v>1.04</v>
      </c>
      <c r="Q62" s="616">
        <v>0.29799999999999999</v>
      </c>
      <c r="R62" s="212">
        <v>27</v>
      </c>
      <c r="S62" s="490"/>
      <c r="T62" s="586"/>
      <c r="U62" s="458"/>
      <c r="V62" s="571">
        <v>1.04</v>
      </c>
      <c r="W62" s="488">
        <v>0.47</v>
      </c>
      <c r="X62" s="212">
        <v>28</v>
      </c>
      <c r="Y62" s="458" t="s">
        <v>1149</v>
      </c>
      <c r="Z62" s="508"/>
      <c r="AA62" s="508"/>
      <c r="AB62" s="458">
        <v>-1</v>
      </c>
      <c r="AC62" s="225">
        <f t="shared" si="5"/>
        <v>0</v>
      </c>
      <c r="AD62" s="508"/>
      <c r="AE62" s="490">
        <v>0</v>
      </c>
      <c r="AF62" s="490"/>
      <c r="AG62">
        <v>11.1</v>
      </c>
      <c r="AH62">
        <v>2.98</v>
      </c>
      <c r="AJ62">
        <v>9.82</v>
      </c>
      <c r="AK62">
        <v>2.13</v>
      </c>
    </row>
    <row r="63" spans="1:41" ht="16" customHeight="1">
      <c r="A63" s="125">
        <v>69</v>
      </c>
      <c r="B63" s="458" t="s">
        <v>1353</v>
      </c>
      <c r="C63" s="458" t="s">
        <v>1548</v>
      </c>
      <c r="D63" s="458" t="s">
        <v>1548</v>
      </c>
      <c r="E63" s="458"/>
      <c r="F63" s="458" t="s">
        <v>1932</v>
      </c>
      <c r="G63" s="458">
        <v>2023</v>
      </c>
      <c r="H63" s="458" t="s">
        <v>1659</v>
      </c>
      <c r="J63" s="508"/>
      <c r="K63" s="461"/>
      <c r="L63" s="461" t="s">
        <v>1262</v>
      </c>
      <c r="M63" s="568" t="s">
        <v>1660</v>
      </c>
      <c r="N63" s="508" t="s">
        <v>1631</v>
      </c>
      <c r="O63" s="508" t="s">
        <v>1741</v>
      </c>
      <c r="P63" s="571">
        <v>2.44</v>
      </c>
      <c r="Q63" s="616">
        <v>4.88</v>
      </c>
      <c r="R63" s="212">
        <v>27</v>
      </c>
      <c r="S63" s="490"/>
      <c r="T63" s="586"/>
      <c r="U63" s="458"/>
      <c r="V63" s="571">
        <v>1.04</v>
      </c>
      <c r="W63" s="488">
        <v>0.19</v>
      </c>
      <c r="X63" s="212">
        <v>28</v>
      </c>
      <c r="Y63" s="458" t="s">
        <v>1149</v>
      </c>
      <c r="Z63" s="508"/>
      <c r="AA63" s="508"/>
      <c r="AB63" s="458">
        <v>-1</v>
      </c>
      <c r="AC63" s="225">
        <f t="shared" si="5"/>
        <v>7.2636567722624088</v>
      </c>
      <c r="AD63" s="508"/>
      <c r="AE63" s="490">
        <v>0</v>
      </c>
      <c r="AF63" s="490"/>
      <c r="AG63">
        <v>11.1</v>
      </c>
      <c r="AH63">
        <v>2.98</v>
      </c>
      <c r="AJ63">
        <v>9.82</v>
      </c>
      <c r="AK63">
        <v>2.13</v>
      </c>
    </row>
    <row r="64" spans="1:41" ht="16" customHeight="1">
      <c r="A64" s="125">
        <v>70</v>
      </c>
      <c r="B64" s="458" t="s">
        <v>1353</v>
      </c>
      <c r="C64" s="458" t="s">
        <v>1548</v>
      </c>
      <c r="D64" s="458" t="s">
        <v>1548</v>
      </c>
      <c r="E64" s="458"/>
      <c r="F64" s="458" t="s">
        <v>1932</v>
      </c>
      <c r="G64" s="458">
        <v>2023</v>
      </c>
      <c r="H64" s="458" t="s">
        <v>1662</v>
      </c>
      <c r="J64" s="508"/>
      <c r="K64" s="461"/>
      <c r="L64" s="461" t="s">
        <v>1663</v>
      </c>
      <c r="M64" s="568" t="s">
        <v>1660</v>
      </c>
      <c r="N64" s="508" t="s">
        <v>1631</v>
      </c>
      <c r="O64" s="234" t="s">
        <v>1740</v>
      </c>
      <c r="P64" s="571">
        <v>0.61</v>
      </c>
      <c r="Q64" s="616">
        <v>0.186</v>
      </c>
      <c r="R64" s="212">
        <v>27</v>
      </c>
      <c r="S64" s="490"/>
      <c r="T64" s="586"/>
      <c r="U64" s="458"/>
      <c r="V64" s="571">
        <v>0.65</v>
      </c>
      <c r="W64" s="488">
        <v>0.19</v>
      </c>
      <c r="X64" s="212">
        <v>28</v>
      </c>
      <c r="Y64" s="458" t="s">
        <v>1149</v>
      </c>
      <c r="Z64" s="508"/>
      <c r="AA64" s="508"/>
      <c r="AB64" s="458">
        <v>-1</v>
      </c>
      <c r="AC64" s="225">
        <f t="shared" si="5"/>
        <v>-0.20753305063606903</v>
      </c>
      <c r="AD64" s="508"/>
      <c r="AE64" s="490">
        <v>0</v>
      </c>
      <c r="AF64" s="490"/>
      <c r="AG64">
        <v>11.1</v>
      </c>
      <c r="AH64">
        <v>2.98</v>
      </c>
      <c r="AJ64">
        <v>9.82</v>
      </c>
      <c r="AK64">
        <v>2.13</v>
      </c>
    </row>
    <row r="65" spans="1:41" ht="16" customHeight="1">
      <c r="A65" s="125">
        <v>87</v>
      </c>
      <c r="B65" s="31" t="s">
        <v>1353</v>
      </c>
      <c r="C65" s="11" t="s">
        <v>1548</v>
      </c>
      <c r="D65" s="11" t="s">
        <v>1548</v>
      </c>
      <c r="E65" s="11" t="s">
        <v>2451</v>
      </c>
      <c r="F65" s="31" t="s">
        <v>1394</v>
      </c>
      <c r="G65" s="31">
        <v>2008</v>
      </c>
      <c r="H65" s="31" t="s">
        <v>2053</v>
      </c>
      <c r="I65" s="31"/>
      <c r="J65" s="3"/>
      <c r="K65" s="135"/>
      <c r="L65" s="135" t="s">
        <v>2052</v>
      </c>
      <c r="M65" s="122"/>
      <c r="N65" s="134"/>
      <c r="O65" s="3"/>
      <c r="P65" s="156">
        <v>37.85</v>
      </c>
      <c r="Q65" s="161">
        <v>1.95</v>
      </c>
      <c r="R65" s="213">
        <v>14</v>
      </c>
      <c r="S65" s="164">
        <v>491</v>
      </c>
      <c r="T65" s="587">
        <v>149.19999999999999</v>
      </c>
      <c r="U65" s="31"/>
      <c r="V65" s="156">
        <v>37.46</v>
      </c>
      <c r="W65" s="161">
        <v>1.45</v>
      </c>
      <c r="X65" s="213">
        <v>14</v>
      </c>
      <c r="Y65" s="125"/>
      <c r="Z65" s="3"/>
      <c r="AA65" s="3"/>
      <c r="AB65" s="31">
        <v>-1</v>
      </c>
      <c r="AC65" s="223">
        <f t="shared" si="5"/>
        <v>0.2611315701372619</v>
      </c>
      <c r="AD65" s="192"/>
      <c r="AE65" s="159">
        <v>1</v>
      </c>
      <c r="AF65" s="159"/>
      <c r="AG65" s="146">
        <v>10.8</v>
      </c>
      <c r="AH65" s="146">
        <f>(13-8)/4</f>
        <v>1.25</v>
      </c>
      <c r="AI65" s="146"/>
      <c r="AJ65" s="609">
        <v>10.9</v>
      </c>
      <c r="AK65" s="137">
        <f>(13-8)/4</f>
        <v>1.25</v>
      </c>
      <c r="AL65" s="31"/>
      <c r="AM65" s="31"/>
      <c r="AN65" s="31"/>
      <c r="AO65" s="31"/>
    </row>
    <row r="66" spans="1:41" ht="16" customHeight="1">
      <c r="A66" s="125">
        <v>80</v>
      </c>
      <c r="B66" s="11" t="s">
        <v>1353</v>
      </c>
      <c r="C66" s="11" t="s">
        <v>1548</v>
      </c>
      <c r="D66" s="11" t="s">
        <v>1548</v>
      </c>
      <c r="E66" s="11" t="s">
        <v>2451</v>
      </c>
      <c r="F66" s="11" t="s">
        <v>1490</v>
      </c>
      <c r="G66" s="11">
        <v>2014</v>
      </c>
      <c r="H66" s="11" t="s">
        <v>2026</v>
      </c>
      <c r="L66" s="108" t="s">
        <v>1492</v>
      </c>
      <c r="M66" s="514" t="s">
        <v>1509</v>
      </c>
      <c r="N66" s="510"/>
      <c r="P66" s="157">
        <v>14.6</v>
      </c>
      <c r="Q66" s="150">
        <v>11.4</v>
      </c>
      <c r="R66" s="209">
        <v>21</v>
      </c>
      <c r="S66" s="159">
        <v>590</v>
      </c>
      <c r="T66" s="578">
        <v>248</v>
      </c>
      <c r="V66" s="157">
        <v>7.2</v>
      </c>
      <c r="W66" s="481">
        <v>7.1</v>
      </c>
      <c r="X66" s="209">
        <v>73</v>
      </c>
      <c r="AB66" s="11">
        <v>1</v>
      </c>
      <c r="AC66" s="223">
        <f>((V66-P66)/W66)*AB66 * (1-(3/(4*(R66+X66-2)-1)))</f>
        <v>-1.0337337375753155</v>
      </c>
      <c r="AD66" s="189"/>
      <c r="AE66" s="159">
        <v>1</v>
      </c>
      <c r="AF66" s="159"/>
      <c r="AG66">
        <v>10.6</v>
      </c>
      <c r="AH66">
        <v>2.5</v>
      </c>
      <c r="AJ66" s="593">
        <v>10.9</v>
      </c>
      <c r="AK66" s="481">
        <v>2.2000000000000002</v>
      </c>
      <c r="AL66" s="11"/>
      <c r="AM66" s="11"/>
      <c r="AN66" s="11"/>
      <c r="AO66" s="11"/>
    </row>
    <row r="67" spans="1:41" ht="16" customHeight="1">
      <c r="A67" s="125">
        <v>67</v>
      </c>
      <c r="B67" s="11" t="s">
        <v>1353</v>
      </c>
      <c r="C67" s="129" t="s">
        <v>1548</v>
      </c>
      <c r="D67" s="612" t="s">
        <v>1548</v>
      </c>
      <c r="E67" s="611" t="s">
        <v>2451</v>
      </c>
      <c r="F67" s="611" t="s">
        <v>1397</v>
      </c>
      <c r="G67" s="611">
        <v>2006</v>
      </c>
      <c r="H67" s="611" t="s">
        <v>2037</v>
      </c>
      <c r="I67" s="11" t="s">
        <v>2679</v>
      </c>
      <c r="J67" s="590" t="s">
        <v>1419</v>
      </c>
      <c r="L67" s="108" t="s">
        <v>1419</v>
      </c>
      <c r="N67" t="s">
        <v>667</v>
      </c>
      <c r="P67" s="157">
        <v>875</v>
      </c>
      <c r="Q67" s="150">
        <v>186</v>
      </c>
      <c r="R67" s="209">
        <v>26</v>
      </c>
      <c r="S67" s="159">
        <v>423.8</v>
      </c>
      <c r="T67" s="578">
        <v>339</v>
      </c>
      <c r="V67" s="157">
        <v>870</v>
      </c>
      <c r="W67" s="150">
        <v>252</v>
      </c>
      <c r="X67" s="209">
        <v>25</v>
      </c>
      <c r="AB67" s="11">
        <v>1</v>
      </c>
      <c r="AC67" s="223">
        <f>((V67-P67)/W67)*AB67* (1-(3/(4*(R67+X67-2)-1)))</f>
        <v>-1.9536019536019536E-2</v>
      </c>
      <c r="AD67" s="223">
        <f>((W67-Q67)/X67)*AC67* (1-(3/(4*(S67+Y67-2)-1)))</f>
        <v>-5.1483331834417119E-2</v>
      </c>
      <c r="AE67" s="159">
        <v>1</v>
      </c>
      <c r="AF67" s="159"/>
      <c r="AG67">
        <v>11.2</v>
      </c>
      <c r="AH67">
        <v>3.1</v>
      </c>
      <c r="AJ67" s="593">
        <v>11.3</v>
      </c>
      <c r="AK67" s="481">
        <v>3.4</v>
      </c>
      <c r="AL67" s="11"/>
      <c r="AM67" s="11"/>
      <c r="AN67" s="11"/>
      <c r="AO67" s="11"/>
    </row>
    <row r="68" spans="1:41" ht="16" customHeight="1">
      <c r="A68" s="125">
        <v>74</v>
      </c>
      <c r="B68" s="11" t="s">
        <v>1353</v>
      </c>
      <c r="C68" s="612" t="s">
        <v>1548</v>
      </c>
      <c r="D68" s="612" t="s">
        <v>1548</v>
      </c>
      <c r="E68" s="611" t="s">
        <v>2451</v>
      </c>
      <c r="F68" s="611" t="s">
        <v>1393</v>
      </c>
      <c r="G68" s="611">
        <v>2005</v>
      </c>
      <c r="H68" s="611" t="s">
        <v>2037</v>
      </c>
      <c r="I68" s="11" t="s">
        <v>2679</v>
      </c>
      <c r="J68" t="s">
        <v>1419</v>
      </c>
      <c r="L68" s="108" t="s">
        <v>1495</v>
      </c>
      <c r="N68" s="510"/>
      <c r="P68" s="157">
        <v>42</v>
      </c>
      <c r="Q68" s="150">
        <v>10</v>
      </c>
      <c r="R68" s="209">
        <v>26</v>
      </c>
      <c r="S68" s="453">
        <f>(449+529)/2</f>
        <v>489</v>
      </c>
      <c r="T68" s="585">
        <f>(220+142)/2</f>
        <v>181</v>
      </c>
      <c r="V68" s="157">
        <v>50</v>
      </c>
      <c r="W68" s="481">
        <v>7</v>
      </c>
      <c r="X68" s="209">
        <v>21</v>
      </c>
      <c r="Y68" s="125"/>
      <c r="AB68" s="11">
        <v>-1</v>
      </c>
      <c r="AC68" s="223">
        <f>((V68-P68)/W68)*AB68* (1-(3/(4*(R68+X68-2)-1)))</f>
        <v>-1.1237031125299282</v>
      </c>
      <c r="AD68" s="189"/>
      <c r="AE68" s="159">
        <v>1</v>
      </c>
      <c r="AF68" s="159"/>
      <c r="AG68" s="154"/>
      <c r="AH68" s="154"/>
      <c r="AI68" s="154"/>
      <c r="AJ68" s="603"/>
      <c r="AK68" s="607"/>
      <c r="AL68" s="11"/>
      <c r="AM68" s="11"/>
      <c r="AN68" s="11"/>
      <c r="AO68" s="11"/>
    </row>
    <row r="69" spans="1:41" ht="16" customHeight="1">
      <c r="A69" s="125">
        <v>91</v>
      </c>
      <c r="B69" s="11" t="s">
        <v>1353</v>
      </c>
      <c r="C69" s="129" t="s">
        <v>1548</v>
      </c>
      <c r="D69" s="612" t="s">
        <v>1548</v>
      </c>
      <c r="E69" s="611" t="s">
        <v>2451</v>
      </c>
      <c r="F69" s="611" t="s">
        <v>2457</v>
      </c>
      <c r="G69" s="611">
        <v>1996</v>
      </c>
      <c r="H69" s="611" t="s">
        <v>2037</v>
      </c>
      <c r="I69" s="11" t="s">
        <v>2679</v>
      </c>
      <c r="J69" t="s">
        <v>1419</v>
      </c>
      <c r="K69" s="108" t="s">
        <v>1419</v>
      </c>
      <c r="L69" s="108" t="s">
        <v>1493</v>
      </c>
      <c r="N69" s="187"/>
      <c r="O69" s="187"/>
      <c r="P69" s="152">
        <v>153.69999999999999</v>
      </c>
      <c r="Q69" s="148">
        <v>45.9</v>
      </c>
      <c r="R69" s="209">
        <v>20</v>
      </c>
      <c r="S69" s="149">
        <v>1253.0999999999999</v>
      </c>
      <c r="T69" s="579"/>
      <c r="U69" s="149"/>
      <c r="V69" s="152">
        <v>114.4</v>
      </c>
      <c r="W69" s="150">
        <v>41.6</v>
      </c>
      <c r="X69" s="209">
        <v>20</v>
      </c>
      <c r="Y69" s="125"/>
      <c r="Z69" s="188"/>
      <c r="AA69" s="188"/>
      <c r="AB69" s="129">
        <v>1</v>
      </c>
      <c r="AC69" s="223">
        <f>((V69-P69)/W69)*AB69 * (1-(3/(4*(R69+X69-2)-1)))</f>
        <v>-0.92594243504839491</v>
      </c>
      <c r="AD69" s="189"/>
      <c r="AE69" s="159">
        <v>1</v>
      </c>
      <c r="AF69" s="159"/>
      <c r="AG69" t="s">
        <v>1549</v>
      </c>
      <c r="AJ69" s="593"/>
      <c r="AK69" s="481"/>
      <c r="AL69" s="606"/>
      <c r="AM69" s="606"/>
      <c r="AN69" s="125"/>
      <c r="AO69" s="606"/>
    </row>
    <row r="70" spans="1:41" ht="16" customHeight="1">
      <c r="A70" s="125">
        <v>92</v>
      </c>
      <c r="B70" s="11" t="s">
        <v>1353</v>
      </c>
      <c r="C70" s="129" t="s">
        <v>1548</v>
      </c>
      <c r="D70" s="612" t="s">
        <v>1548</v>
      </c>
      <c r="E70" s="611" t="s">
        <v>2451</v>
      </c>
      <c r="F70" s="611" t="s">
        <v>2457</v>
      </c>
      <c r="G70" s="611">
        <v>1999</v>
      </c>
      <c r="H70" s="611" t="s">
        <v>2037</v>
      </c>
      <c r="I70" s="11" t="s">
        <v>2679</v>
      </c>
      <c r="J70" t="s">
        <v>1419</v>
      </c>
      <c r="K70" s="108" t="s">
        <v>1419</v>
      </c>
      <c r="L70" s="108" t="s">
        <v>2422</v>
      </c>
      <c r="M70" s="514" t="s">
        <v>1497</v>
      </c>
      <c r="N70" s="510"/>
      <c r="P70" s="157">
        <v>110.6</v>
      </c>
      <c r="Q70" s="150">
        <v>24.2</v>
      </c>
      <c r="R70" s="216">
        <v>20</v>
      </c>
      <c r="S70" s="159">
        <v>744</v>
      </c>
      <c r="T70" s="578">
        <v>456</v>
      </c>
      <c r="V70" s="157">
        <v>103.5</v>
      </c>
      <c r="W70" s="150">
        <v>22.2</v>
      </c>
      <c r="X70" s="209">
        <v>20</v>
      </c>
      <c r="AB70" s="11">
        <v>1</v>
      </c>
      <c r="AC70" s="223">
        <f>((V70-P70)/W70)*AB70* (1-(3/(4*(R70+X70-2)-1)))</f>
        <v>-0.31346578366445887</v>
      </c>
      <c r="AD70" s="189"/>
      <c r="AE70" s="159">
        <v>1</v>
      </c>
      <c r="AF70" s="237"/>
      <c r="AG70" s="593"/>
      <c r="AH70" s="593"/>
      <c r="AI70" s="593"/>
      <c r="AJ70" s="593"/>
      <c r="AK70" s="481"/>
      <c r="AL70" s="11"/>
      <c r="AM70" s="11"/>
      <c r="AN70" s="11"/>
      <c r="AO70" s="11"/>
    </row>
    <row r="71" spans="1:41" s="31" customFormat="1" ht="16" customHeight="1">
      <c r="A71" s="125">
        <v>97</v>
      </c>
      <c r="B71" s="11" t="s">
        <v>1353</v>
      </c>
      <c r="C71" s="129" t="s">
        <v>1548</v>
      </c>
      <c r="D71" s="612" t="s">
        <v>1548</v>
      </c>
      <c r="E71" s="611" t="s">
        <v>2451</v>
      </c>
      <c r="F71" s="611" t="s">
        <v>662</v>
      </c>
      <c r="G71" s="611">
        <v>2001</v>
      </c>
      <c r="H71" s="611" t="s">
        <v>2037</v>
      </c>
      <c r="I71" s="11" t="s">
        <v>2679</v>
      </c>
      <c r="J71"/>
      <c r="K71" s="108"/>
      <c r="L71" s="108" t="s">
        <v>2683</v>
      </c>
      <c r="M71" t="s">
        <v>633</v>
      </c>
      <c r="N71" s="125"/>
      <c r="O71"/>
      <c r="P71" s="157">
        <v>37.69</v>
      </c>
      <c r="Q71" s="150">
        <v>16.329999999999998</v>
      </c>
      <c r="R71" s="209">
        <v>23</v>
      </c>
      <c r="S71" s="159">
        <v>496.4</v>
      </c>
      <c r="T71" s="578">
        <v>230</v>
      </c>
      <c r="U71" s="11"/>
      <c r="V71" s="157">
        <v>48.72</v>
      </c>
      <c r="W71" s="150">
        <v>15.62</v>
      </c>
      <c r="X71" s="209">
        <v>23</v>
      </c>
      <c r="Y71" s="11"/>
      <c r="Z71"/>
      <c r="AA71"/>
      <c r="AB71" s="11">
        <v>-1</v>
      </c>
      <c r="AC71" s="223">
        <f>((V71-P71)/W71)*AB71* (1-(3/(4*(R71+X71-2)-1)))</f>
        <v>-0.69404060728004402</v>
      </c>
      <c r="AD71" s="202"/>
      <c r="AE71" s="159">
        <v>1</v>
      </c>
      <c r="AF71" s="151">
        <f>AVERAGE(AC64:AC71)</f>
        <v>-0.50710289701662103</v>
      </c>
      <c r="AG71">
        <v>10.7</v>
      </c>
      <c r="AH71">
        <v>3.4</v>
      </c>
      <c r="AI71"/>
      <c r="AJ71" s="593">
        <v>11.1</v>
      </c>
      <c r="AK71" s="481">
        <v>3.7</v>
      </c>
      <c r="AL71" s="11"/>
      <c r="AM71" s="11"/>
      <c r="AN71" s="11"/>
      <c r="AO71" s="11"/>
    </row>
    <row r="72" spans="1:41" ht="16" customHeight="1">
      <c r="A72" s="125">
        <v>54</v>
      </c>
      <c r="B72" s="11" t="s">
        <v>1353</v>
      </c>
      <c r="C72" s="129" t="s">
        <v>1548</v>
      </c>
      <c r="D72" s="129" t="s">
        <v>1548</v>
      </c>
      <c r="E72" s="11" t="s">
        <v>2451</v>
      </c>
      <c r="F72" s="11" t="s">
        <v>1390</v>
      </c>
      <c r="G72" s="11">
        <v>2003</v>
      </c>
      <c r="H72" s="11" t="s">
        <v>2037</v>
      </c>
      <c r="J72" t="s">
        <v>1419</v>
      </c>
      <c r="L72" s="108" t="s">
        <v>1197</v>
      </c>
      <c r="N72" s="510"/>
      <c r="P72" s="157">
        <v>50.7</v>
      </c>
      <c r="Q72" s="150">
        <v>8.3000000000000007</v>
      </c>
      <c r="R72" s="209">
        <v>46</v>
      </c>
      <c r="S72" s="453">
        <f>8.1*60.5364</f>
        <v>490.34483999999998</v>
      </c>
      <c r="T72" s="585">
        <f>6.2*60.5364</f>
        <v>375.32568000000003</v>
      </c>
      <c r="V72" s="157">
        <v>52</v>
      </c>
      <c r="W72" s="150">
        <v>9.1</v>
      </c>
      <c r="X72" s="209">
        <v>18</v>
      </c>
      <c r="Y72" s="125"/>
      <c r="AB72" s="11">
        <v>-1</v>
      </c>
      <c r="AC72" s="223">
        <f>((V72-P72)/W72)*AB72* (1-(3/(4*(R72+X72-2)-1)))</f>
        <v>-0.14112203585887764</v>
      </c>
      <c r="AD72" s="189"/>
      <c r="AE72" s="159">
        <v>1</v>
      </c>
      <c r="AF72" s="159"/>
      <c r="AG72" s="154">
        <f>129/12</f>
        <v>10.75</v>
      </c>
      <c r="AH72" s="146">
        <v>2.1</v>
      </c>
      <c r="AI72" s="154"/>
      <c r="AJ72" s="603">
        <v>13.1</v>
      </c>
      <c r="AK72" s="607">
        <v>3.2</v>
      </c>
      <c r="AL72" s="11"/>
      <c r="AM72" s="11"/>
      <c r="AN72" s="11"/>
      <c r="AO72" s="11"/>
    </row>
    <row r="73" spans="1:41" ht="16" customHeight="1">
      <c r="A73" s="125">
        <v>94</v>
      </c>
      <c r="B73" s="11" t="s">
        <v>1353</v>
      </c>
      <c r="C73" s="129" t="s">
        <v>1548</v>
      </c>
      <c r="D73" s="129" t="s">
        <v>1548</v>
      </c>
      <c r="E73" s="11" t="s">
        <v>2451</v>
      </c>
      <c r="F73" s="11" t="s">
        <v>2457</v>
      </c>
      <c r="G73" s="11">
        <v>1996</v>
      </c>
      <c r="H73" s="11" t="s">
        <v>2037</v>
      </c>
      <c r="J73" t="s">
        <v>961</v>
      </c>
      <c r="K73" s="108" t="s">
        <v>961</v>
      </c>
      <c r="L73" s="108" t="s">
        <v>2659</v>
      </c>
      <c r="M73" s="514" t="s">
        <v>1525</v>
      </c>
      <c r="N73" s="510"/>
      <c r="P73" s="157">
        <v>15.4</v>
      </c>
      <c r="Q73" s="150">
        <v>14.2</v>
      </c>
      <c r="R73" s="216">
        <v>20</v>
      </c>
      <c r="S73" s="159">
        <v>582</v>
      </c>
      <c r="T73" s="578">
        <v>372</v>
      </c>
      <c r="V73" s="157">
        <v>7.5</v>
      </c>
      <c r="W73" s="150">
        <v>9.1</v>
      </c>
      <c r="X73" s="209">
        <v>20</v>
      </c>
      <c r="AB73" s="11">
        <v>1</v>
      </c>
      <c r="AC73" s="223">
        <f>((V73-P73)/W73)*AB73* (1-(3/(4*(R73+X73-2)-1)))</f>
        <v>-0.8508842151226258</v>
      </c>
      <c r="AD73" s="189"/>
      <c r="AE73" s="159">
        <v>1</v>
      </c>
      <c r="AF73" s="159"/>
      <c r="AG73" s="593">
        <f>131/12</f>
        <v>10.916666666666666</v>
      </c>
      <c r="AH73" s="593">
        <v>1.3</v>
      </c>
      <c r="AI73" s="593"/>
      <c r="AJ73" s="593">
        <v>11</v>
      </c>
      <c r="AK73" s="481">
        <v>1.1000000000000001</v>
      </c>
      <c r="AL73" s="11"/>
      <c r="AM73" s="11"/>
      <c r="AN73" s="11"/>
      <c r="AO73" s="11"/>
    </row>
    <row r="74" spans="1:41" ht="16" customHeight="1">
      <c r="A74" s="125">
        <v>95</v>
      </c>
      <c r="B74" s="11" t="s">
        <v>1353</v>
      </c>
      <c r="C74" s="129" t="s">
        <v>1548</v>
      </c>
      <c r="D74" s="129" t="s">
        <v>1548</v>
      </c>
      <c r="E74" s="11" t="s">
        <v>2451</v>
      </c>
      <c r="F74" s="11" t="s">
        <v>2457</v>
      </c>
      <c r="G74" s="11">
        <v>1999</v>
      </c>
      <c r="H74" s="11" t="s">
        <v>2037</v>
      </c>
      <c r="J74" t="s">
        <v>961</v>
      </c>
      <c r="K74" s="108" t="s">
        <v>961</v>
      </c>
      <c r="L74" s="108" t="s">
        <v>2655</v>
      </c>
      <c r="M74" s="514" t="s">
        <v>1526</v>
      </c>
      <c r="N74" t="s">
        <v>1282</v>
      </c>
      <c r="P74" s="157">
        <v>11.6</v>
      </c>
      <c r="Q74" s="150">
        <v>11.7</v>
      </c>
      <c r="R74" s="209">
        <v>20</v>
      </c>
      <c r="S74" s="159">
        <v>744</v>
      </c>
      <c r="T74" s="578">
        <v>456</v>
      </c>
      <c r="V74" s="157">
        <v>4.5</v>
      </c>
      <c r="W74" s="150">
        <v>3.4</v>
      </c>
      <c r="X74" s="209">
        <v>20</v>
      </c>
      <c r="AB74" s="11">
        <v>1</v>
      </c>
      <c r="AC74" s="224">
        <f>((V74-P74)/W74)*AB74* (1-(3/(4*(R74+X74-2)-1)))</f>
        <v>-2.0467471756914688</v>
      </c>
      <c r="AD74" s="189"/>
      <c r="AE74" s="159">
        <v>1</v>
      </c>
      <c r="AF74" s="610">
        <f>AVERAGE(AC57:AC74)</f>
        <v>-0.15695737609709845</v>
      </c>
      <c r="AG74">
        <v>13.9</v>
      </c>
      <c r="AH74">
        <v>1.3</v>
      </c>
      <c r="AJ74" s="593">
        <v>14</v>
      </c>
      <c r="AK74" s="481">
        <v>1.1000000000000001</v>
      </c>
      <c r="AL74" s="11"/>
      <c r="AM74" s="11"/>
      <c r="AN74" s="11"/>
      <c r="AO74" s="11"/>
    </row>
    <row r="75" spans="1:41" ht="16" customHeight="1">
      <c r="A75" s="125"/>
      <c r="C75" s="129"/>
      <c r="D75" s="129"/>
      <c r="W75" s="150"/>
      <c r="AC75" s="224"/>
      <c r="AD75" s="189"/>
      <c r="AE75" s="159"/>
      <c r="AF75" s="237"/>
      <c r="AJ75" s="593"/>
      <c r="AK75" s="481"/>
      <c r="AL75" s="11"/>
      <c r="AM75" s="11"/>
      <c r="AN75" s="11"/>
      <c r="AO75" s="11"/>
    </row>
    <row r="76" spans="1:41" ht="15" customHeight="1">
      <c r="A76" s="125">
        <v>57</v>
      </c>
      <c r="B76" s="11" t="s">
        <v>1353</v>
      </c>
      <c r="C76" s="11" t="s">
        <v>1547</v>
      </c>
      <c r="D76" s="611" t="s">
        <v>1547</v>
      </c>
      <c r="E76" s="611"/>
      <c r="F76" s="611" t="s">
        <v>1397</v>
      </c>
      <c r="G76" s="611">
        <v>2006</v>
      </c>
      <c r="H76" s="613" t="s">
        <v>2669</v>
      </c>
      <c r="I76" s="125" t="s">
        <v>2680</v>
      </c>
      <c r="J76" t="s">
        <v>961</v>
      </c>
      <c r="K76" s="108" t="s">
        <v>961</v>
      </c>
      <c r="L76" s="108" t="s">
        <v>1522</v>
      </c>
      <c r="N76" s="510"/>
      <c r="P76" s="157">
        <v>5.8</v>
      </c>
      <c r="Q76" s="150">
        <v>5.7</v>
      </c>
      <c r="R76" s="209">
        <v>26</v>
      </c>
      <c r="S76" s="159">
        <v>423.8</v>
      </c>
      <c r="T76" s="578">
        <v>339</v>
      </c>
      <c r="V76" s="157">
        <v>6.1</v>
      </c>
      <c r="W76" s="150">
        <v>6.5</v>
      </c>
      <c r="X76" s="209">
        <v>25</v>
      </c>
      <c r="AB76" s="11">
        <v>1</v>
      </c>
      <c r="AC76" s="225">
        <f>((V76-P76)/W76)*AB76 * (1-(3/(4*(R76+X76-2)-1)))</f>
        <v>4.5443786982248498E-2</v>
      </c>
      <c r="AD76" s="189"/>
      <c r="AE76" s="159">
        <v>1</v>
      </c>
      <c r="AF76" s="159"/>
      <c r="AJ76" s="593"/>
      <c r="AK76" s="481"/>
      <c r="AL76" s="11"/>
      <c r="AM76" s="11"/>
      <c r="AN76" s="11"/>
      <c r="AO76" s="11"/>
    </row>
    <row r="77" spans="1:41" ht="16" customHeight="1">
      <c r="A77" s="125">
        <v>58</v>
      </c>
      <c r="B77" s="11" t="s">
        <v>1353</v>
      </c>
      <c r="C77" s="11" t="s">
        <v>1547</v>
      </c>
      <c r="D77" s="611" t="s">
        <v>1547</v>
      </c>
      <c r="E77" s="611"/>
      <c r="F77" s="611" t="s">
        <v>1397</v>
      </c>
      <c r="G77" s="611">
        <v>2006</v>
      </c>
      <c r="H77" s="613" t="s">
        <v>2669</v>
      </c>
      <c r="I77" s="125" t="s">
        <v>2680</v>
      </c>
      <c r="J77" t="s">
        <v>1419</v>
      </c>
      <c r="K77" s="108" t="s">
        <v>1419</v>
      </c>
      <c r="L77" s="108" t="s">
        <v>1524</v>
      </c>
      <c r="N77" s="510"/>
      <c r="P77" s="157">
        <v>766</v>
      </c>
      <c r="Q77" s="150">
        <v>212</v>
      </c>
      <c r="R77" s="209">
        <v>26</v>
      </c>
      <c r="S77" s="159">
        <v>423.8</v>
      </c>
      <c r="T77" s="578">
        <v>339</v>
      </c>
      <c r="V77" s="157">
        <v>707</v>
      </c>
      <c r="W77" s="150">
        <v>211</v>
      </c>
      <c r="X77" s="209">
        <v>25</v>
      </c>
      <c r="AB77" s="11">
        <v>1</v>
      </c>
      <c r="AC77" s="225">
        <f>((V77-P77)/W77)*AB77 * (1-(3/(4*(R77+X77-2)-1)))</f>
        <v>-0.27531899380240615</v>
      </c>
      <c r="AD77" s="189"/>
      <c r="AE77" s="159">
        <v>1</v>
      </c>
      <c r="AF77" s="159"/>
      <c r="AG77">
        <v>11.2</v>
      </c>
      <c r="AH77">
        <v>3.1</v>
      </c>
      <c r="AJ77" s="593">
        <v>11.3</v>
      </c>
      <c r="AK77" s="481">
        <v>3.4</v>
      </c>
      <c r="AL77" s="11"/>
      <c r="AM77" s="11"/>
      <c r="AN77" s="11"/>
      <c r="AO77" s="11"/>
    </row>
    <row r="78" spans="1:41" ht="16" customHeight="1">
      <c r="A78" s="125">
        <v>77</v>
      </c>
      <c r="B78" s="11" t="s">
        <v>1353</v>
      </c>
      <c r="C78" s="11" t="s">
        <v>1547</v>
      </c>
      <c r="D78" s="611" t="s">
        <v>1547</v>
      </c>
      <c r="E78" s="611"/>
      <c r="F78" s="611" t="s">
        <v>1490</v>
      </c>
      <c r="G78" s="611">
        <v>2014</v>
      </c>
      <c r="H78" s="613" t="s">
        <v>2563</v>
      </c>
      <c r="I78" s="125" t="s">
        <v>2680</v>
      </c>
      <c r="L78" s="108" t="s">
        <v>1523</v>
      </c>
      <c r="M78" s="514" t="s">
        <v>1509</v>
      </c>
      <c r="N78" s="510"/>
      <c r="P78" s="157">
        <v>7</v>
      </c>
      <c r="Q78" s="150">
        <v>7.9</v>
      </c>
      <c r="R78" s="209">
        <v>21</v>
      </c>
      <c r="S78" s="159">
        <v>590</v>
      </c>
      <c r="T78" s="578">
        <v>248</v>
      </c>
      <c r="V78" s="157">
        <v>3.9</v>
      </c>
      <c r="W78" s="150">
        <v>3.7</v>
      </c>
      <c r="X78" s="209">
        <v>73</v>
      </c>
      <c r="AB78" s="11">
        <v>1</v>
      </c>
      <c r="AC78" s="225">
        <f>((V78-P78)/W78)*AB78 * (1-(3/(4*(R78+X78-2)-1)))</f>
        <v>-0.83098902717431322</v>
      </c>
      <c r="AD78" s="189"/>
      <c r="AE78" s="159">
        <v>1</v>
      </c>
      <c r="AF78" s="159"/>
      <c r="AJ78" s="593"/>
      <c r="AK78" s="481"/>
      <c r="AL78" s="11"/>
      <c r="AM78" s="11"/>
      <c r="AN78" s="11"/>
      <c r="AO78" s="11"/>
    </row>
    <row r="79" spans="1:41" ht="16" customHeight="1">
      <c r="A79" s="125">
        <v>83</v>
      </c>
      <c r="B79" s="11" t="s">
        <v>1353</v>
      </c>
      <c r="C79" s="11" t="s">
        <v>1547</v>
      </c>
      <c r="D79" s="11" t="s">
        <v>1547</v>
      </c>
      <c r="F79" s="11" t="s">
        <v>585</v>
      </c>
      <c r="G79" s="11">
        <v>2012</v>
      </c>
      <c r="H79" s="11" t="s">
        <v>2670</v>
      </c>
      <c r="L79" s="108" t="s">
        <v>2672</v>
      </c>
      <c r="N79" s="510"/>
      <c r="P79" s="157">
        <v>642</v>
      </c>
      <c r="Q79" s="150">
        <v>138</v>
      </c>
      <c r="R79" s="209">
        <v>42</v>
      </c>
      <c r="S79" s="159">
        <v>546</v>
      </c>
      <c r="T79" s="578">
        <v>331</v>
      </c>
      <c r="V79" s="157">
        <v>587</v>
      </c>
      <c r="W79" s="150">
        <v>134</v>
      </c>
      <c r="X79" s="209">
        <v>81</v>
      </c>
      <c r="AB79" s="11">
        <v>1</v>
      </c>
      <c r="AC79" s="223">
        <f>((V79-P79)/W79)*AB79* (1-(3/(4*(R79+X79-2)-1)))</f>
        <v>-0.40789839621766943</v>
      </c>
      <c r="AD79" s="189"/>
      <c r="AE79" s="159">
        <v>1</v>
      </c>
      <c r="AF79" s="159"/>
      <c r="AG79" s="154">
        <v>11.8</v>
      </c>
      <c r="AH79" s="154">
        <v>3.5</v>
      </c>
      <c r="AI79" s="154"/>
      <c r="AJ79" s="593">
        <v>12.3</v>
      </c>
      <c r="AK79" s="481">
        <v>3.2</v>
      </c>
      <c r="AL79" s="11"/>
      <c r="AM79" s="11"/>
      <c r="AN79" s="11"/>
      <c r="AO79" s="11"/>
    </row>
    <row r="80" spans="1:41" ht="16" customHeight="1">
      <c r="A80" s="125">
        <v>81</v>
      </c>
      <c r="B80" s="11" t="s">
        <v>1353</v>
      </c>
      <c r="C80" s="129" t="s">
        <v>1547</v>
      </c>
      <c r="D80" s="129" t="s">
        <v>1547</v>
      </c>
      <c r="E80" s="129"/>
      <c r="F80" s="11" t="s">
        <v>1490</v>
      </c>
      <c r="G80" s="11">
        <v>2014</v>
      </c>
      <c r="H80" s="11" t="s">
        <v>2026</v>
      </c>
      <c r="L80" s="108" t="s">
        <v>1491</v>
      </c>
      <c r="M80" s="514" t="s">
        <v>1509</v>
      </c>
      <c r="N80" s="510"/>
      <c r="P80" s="157">
        <v>4.4000000000000004</v>
      </c>
      <c r="Q80" s="150">
        <v>5.4</v>
      </c>
      <c r="R80" s="209">
        <v>21</v>
      </c>
      <c r="S80" s="159">
        <v>590</v>
      </c>
      <c r="T80" s="578">
        <v>248</v>
      </c>
      <c r="V80" s="157">
        <v>2.1</v>
      </c>
      <c r="W80" s="150">
        <v>2.9</v>
      </c>
      <c r="X80" s="209">
        <v>73</v>
      </c>
      <c r="AB80" s="11">
        <v>1</v>
      </c>
      <c r="AC80" s="223">
        <f>((V80-P80)/W80)*AB80* (1-(3/(4*(R80+X80-2)-1)))</f>
        <v>-0.78662031382129116</v>
      </c>
      <c r="AD80" s="193"/>
      <c r="AE80" s="159">
        <v>1</v>
      </c>
      <c r="AF80" s="159"/>
      <c r="AG80" s="146"/>
      <c r="AH80" s="146"/>
      <c r="AI80" s="593"/>
      <c r="AJ80" s="186"/>
      <c r="AK80" s="31"/>
      <c r="AL80" s="11"/>
      <c r="AM80" s="11"/>
      <c r="AN80" s="11"/>
      <c r="AO80" s="11"/>
    </row>
    <row r="81" spans="1:41" ht="16" customHeight="1">
      <c r="A81" s="125">
        <v>84</v>
      </c>
      <c r="B81" s="11" t="s">
        <v>1353</v>
      </c>
      <c r="C81" s="11" t="s">
        <v>1547</v>
      </c>
      <c r="D81" s="11" t="s">
        <v>1547</v>
      </c>
      <c r="F81" s="11" t="s">
        <v>585</v>
      </c>
      <c r="G81" s="11">
        <v>2012</v>
      </c>
      <c r="H81" s="11" t="s">
        <v>2050</v>
      </c>
      <c r="L81" s="108" t="s">
        <v>2048</v>
      </c>
      <c r="N81" s="510"/>
      <c r="P81" s="157">
        <v>565</v>
      </c>
      <c r="Q81" s="150">
        <v>162</v>
      </c>
      <c r="R81" s="209">
        <v>42</v>
      </c>
      <c r="S81" s="159">
        <v>546</v>
      </c>
      <c r="T81" s="578">
        <v>331</v>
      </c>
      <c r="V81" s="157">
        <v>479</v>
      </c>
      <c r="W81" s="150">
        <v>175</v>
      </c>
      <c r="X81" s="209">
        <v>81</v>
      </c>
      <c r="AB81" s="11">
        <v>1</v>
      </c>
      <c r="AC81" s="223">
        <f>((V81-P81)/W81)*AB81* (1-(3/(4*(R81+X81-2)-1)))</f>
        <v>-0.48837622005323866</v>
      </c>
      <c r="AD81" s="189"/>
      <c r="AE81" s="159">
        <v>1</v>
      </c>
      <c r="AF81" s="159"/>
      <c r="AG81" s="154">
        <v>11.8</v>
      </c>
      <c r="AH81" s="154">
        <v>3.5</v>
      </c>
      <c r="AI81" s="154"/>
      <c r="AJ81" s="593">
        <v>12.3</v>
      </c>
      <c r="AK81" s="481">
        <v>3.2</v>
      </c>
      <c r="AL81" s="11"/>
      <c r="AM81" s="11"/>
      <c r="AN81" s="11"/>
      <c r="AO81" s="11"/>
    </row>
    <row r="82" spans="1:41" ht="16" customHeight="1">
      <c r="A82" s="125">
        <v>85</v>
      </c>
      <c r="B82" s="11" t="s">
        <v>1353</v>
      </c>
      <c r="C82" s="11" t="s">
        <v>1547</v>
      </c>
      <c r="D82" s="11" t="s">
        <v>1547</v>
      </c>
      <c r="F82" s="11" t="s">
        <v>585</v>
      </c>
      <c r="G82" s="11">
        <v>2012</v>
      </c>
      <c r="H82" s="11" t="s">
        <v>2051</v>
      </c>
      <c r="N82" s="510"/>
      <c r="P82" s="157">
        <v>199</v>
      </c>
      <c r="Q82" s="150">
        <v>130</v>
      </c>
      <c r="R82" s="209">
        <v>42</v>
      </c>
      <c r="S82" s="159">
        <v>546</v>
      </c>
      <c r="T82" s="578">
        <v>331</v>
      </c>
      <c r="V82" s="157">
        <v>155</v>
      </c>
      <c r="W82" s="150">
        <v>127</v>
      </c>
      <c r="X82" s="209">
        <v>81</v>
      </c>
      <c r="AB82" s="11">
        <v>1</v>
      </c>
      <c r="AC82" s="223">
        <f>((V82-P82)/W82)*AB82* (1-(3/(4*(R82+X82-2)-1)))</f>
        <v>-0.34430478798845798</v>
      </c>
      <c r="AD82" s="202"/>
      <c r="AE82" s="159">
        <v>1</v>
      </c>
      <c r="AF82" s="159"/>
      <c r="AG82" s="154">
        <v>11.8</v>
      </c>
      <c r="AH82" s="154">
        <v>3.5</v>
      </c>
      <c r="AI82" s="154"/>
      <c r="AJ82" s="593">
        <v>12.3</v>
      </c>
      <c r="AK82" s="481">
        <v>3.2</v>
      </c>
      <c r="AL82" s="11"/>
      <c r="AM82" s="11"/>
      <c r="AN82" s="11"/>
      <c r="AO82" s="11"/>
    </row>
    <row r="83" spans="1:41" ht="16" customHeight="1">
      <c r="A83" s="125">
        <v>63</v>
      </c>
      <c r="B83" s="11" t="s">
        <v>1353</v>
      </c>
      <c r="C83" s="11" t="s">
        <v>1547</v>
      </c>
      <c r="D83" s="11" t="s">
        <v>1547</v>
      </c>
      <c r="F83" s="11" t="s">
        <v>1397</v>
      </c>
      <c r="G83" s="11">
        <v>2006</v>
      </c>
      <c r="H83" s="11" t="s">
        <v>2454</v>
      </c>
      <c r="J83" t="s">
        <v>961</v>
      </c>
      <c r="K83" s="108" t="s">
        <v>961</v>
      </c>
      <c r="L83" s="108" t="s">
        <v>1215</v>
      </c>
      <c r="P83" s="157">
        <v>1.1000000000000001</v>
      </c>
      <c r="Q83" s="150">
        <v>2</v>
      </c>
      <c r="R83" s="209">
        <v>26</v>
      </c>
      <c r="S83" s="159">
        <v>423.8</v>
      </c>
      <c r="T83" s="578">
        <v>339</v>
      </c>
      <c r="V83" s="157">
        <v>1</v>
      </c>
      <c r="W83" s="150">
        <v>1.6</v>
      </c>
      <c r="X83" s="209">
        <v>25</v>
      </c>
      <c r="Y83" s="125"/>
      <c r="AB83" s="11">
        <v>1</v>
      </c>
      <c r="AC83" s="223">
        <f>((V83-P83)/W83)*AB83* (1-(3/(4*(R83+X83-2)-1)))</f>
        <v>-6.1538461538461597E-2</v>
      </c>
      <c r="AD83" s="189"/>
      <c r="AE83" s="159">
        <v>0</v>
      </c>
      <c r="AF83" s="159"/>
      <c r="AJ83" s="593"/>
      <c r="AK83" s="481"/>
      <c r="AL83" s="11"/>
      <c r="AM83" s="11"/>
      <c r="AN83" s="11"/>
      <c r="AO83" s="11"/>
    </row>
    <row r="84" spans="1:41" s="31" customFormat="1" ht="16" customHeight="1">
      <c r="A84" s="125">
        <v>66</v>
      </c>
      <c r="B84" s="11" t="s">
        <v>1353</v>
      </c>
      <c r="C84" s="11" t="s">
        <v>1547</v>
      </c>
      <c r="D84" s="611" t="s">
        <v>1547</v>
      </c>
      <c r="E84" s="611"/>
      <c r="F84" s="611" t="s">
        <v>1397</v>
      </c>
      <c r="G84" s="611">
        <v>2006</v>
      </c>
      <c r="H84" s="611" t="s">
        <v>1527</v>
      </c>
      <c r="I84" s="11" t="s">
        <v>2680</v>
      </c>
      <c r="J84" s="590" t="s">
        <v>1419</v>
      </c>
      <c r="K84" s="461" t="s">
        <v>1419</v>
      </c>
      <c r="L84" s="461" t="s">
        <v>206</v>
      </c>
      <c r="M84" s="568"/>
      <c r="N84" s="508"/>
      <c r="O84" s="508"/>
      <c r="P84" s="571">
        <v>811</v>
      </c>
      <c r="Q84" s="616">
        <v>173</v>
      </c>
      <c r="R84" s="212">
        <v>26</v>
      </c>
      <c r="S84" s="490">
        <v>423.8</v>
      </c>
      <c r="T84" s="586">
        <v>339</v>
      </c>
      <c r="U84" s="458"/>
      <c r="V84" s="571">
        <v>817</v>
      </c>
      <c r="W84" s="616">
        <v>207</v>
      </c>
      <c r="X84" s="212">
        <v>25</v>
      </c>
      <c r="Y84" s="233"/>
      <c r="Z84" s="508"/>
      <c r="AA84" s="508"/>
      <c r="AB84" s="458">
        <v>1</v>
      </c>
      <c r="AC84" s="225">
        <f t="shared" ref="AC84:AC89" si="6">((V84-P84)/W84)*AB84 * (1-(3/(4*(R84+X84-2)-1)))</f>
        <v>2.8539576365663323E-2</v>
      </c>
      <c r="AD84" s="189"/>
      <c r="AE84" s="490">
        <v>0</v>
      </c>
      <c r="AF84" s="490"/>
      <c r="AG84"/>
      <c r="AH84"/>
      <c r="AI84"/>
      <c r="AJ84" s="593"/>
      <c r="AK84" s="481"/>
      <c r="AL84" s="11"/>
      <c r="AM84" s="11"/>
      <c r="AN84" s="11"/>
      <c r="AO84" s="11"/>
    </row>
    <row r="85" spans="1:41" ht="16" customHeight="1">
      <c r="A85" s="125">
        <v>72</v>
      </c>
      <c r="B85" s="11" t="s">
        <v>1353</v>
      </c>
      <c r="C85" s="611" t="s">
        <v>1547</v>
      </c>
      <c r="D85" s="611" t="s">
        <v>1547</v>
      </c>
      <c r="E85" s="611"/>
      <c r="F85" s="611" t="s">
        <v>1393</v>
      </c>
      <c r="G85" s="611">
        <v>2005</v>
      </c>
      <c r="H85" s="611" t="s">
        <v>1527</v>
      </c>
      <c r="I85" s="11" t="s">
        <v>2680</v>
      </c>
      <c r="J85" s="508" t="s">
        <v>1419</v>
      </c>
      <c r="K85" s="461"/>
      <c r="L85" s="461" t="s">
        <v>1514</v>
      </c>
      <c r="M85" s="568"/>
      <c r="N85" s="509"/>
      <c r="O85" s="508"/>
      <c r="P85" s="571">
        <v>45</v>
      </c>
      <c r="Q85" s="616">
        <v>8</v>
      </c>
      <c r="R85" s="212">
        <v>26</v>
      </c>
      <c r="S85" s="576">
        <f>(449+529)/2</f>
        <v>489</v>
      </c>
      <c r="T85" s="583">
        <f>(220+142)/2</f>
        <v>181</v>
      </c>
      <c r="U85" s="458"/>
      <c r="V85" s="571">
        <v>50</v>
      </c>
      <c r="W85" s="616">
        <v>6</v>
      </c>
      <c r="X85" s="212">
        <v>21</v>
      </c>
      <c r="Y85" s="233"/>
      <c r="Z85" s="508"/>
      <c r="AA85" s="508"/>
      <c r="AB85" s="458">
        <v>-1</v>
      </c>
      <c r="AC85" s="225">
        <f t="shared" si="6"/>
        <v>-0.81936685288640598</v>
      </c>
      <c r="AD85" s="194"/>
      <c r="AE85" s="490">
        <v>0</v>
      </c>
      <c r="AF85" s="490"/>
      <c r="AG85" s="154">
        <v>12.3</v>
      </c>
      <c r="AH85" s="154">
        <v>3.7</v>
      </c>
      <c r="AI85" s="154"/>
      <c r="AJ85" s="603">
        <v>11.8</v>
      </c>
      <c r="AK85" s="607">
        <v>3.6</v>
      </c>
      <c r="AL85" s="11"/>
      <c r="AM85" s="11"/>
      <c r="AN85" s="11"/>
      <c r="AO85" s="11"/>
    </row>
    <row r="86" spans="1:41" ht="16" customHeight="1">
      <c r="A86" s="125">
        <v>73</v>
      </c>
      <c r="B86" s="11" t="s">
        <v>1353</v>
      </c>
      <c r="C86" s="11" t="s">
        <v>1547</v>
      </c>
      <c r="D86" s="11" t="s">
        <v>1547</v>
      </c>
      <c r="F86" s="458" t="s">
        <v>1393</v>
      </c>
      <c r="G86" s="458">
        <v>2005</v>
      </c>
      <c r="H86" s="458" t="s">
        <v>1527</v>
      </c>
      <c r="I86" s="11" t="s">
        <v>2680</v>
      </c>
      <c r="J86" s="508" t="s">
        <v>1419</v>
      </c>
      <c r="K86" s="461"/>
      <c r="L86" s="461" t="s">
        <v>1494</v>
      </c>
      <c r="M86" s="568"/>
      <c r="N86" s="509"/>
      <c r="O86" s="508"/>
      <c r="P86" s="571">
        <v>40</v>
      </c>
      <c r="Q86" s="616">
        <v>9</v>
      </c>
      <c r="R86" s="212">
        <v>26</v>
      </c>
      <c r="S86" s="576">
        <f>(449+529)/2</f>
        <v>489</v>
      </c>
      <c r="T86" s="583">
        <f>(220+142)/2</f>
        <v>181</v>
      </c>
      <c r="U86" s="458"/>
      <c r="V86" s="571">
        <v>45</v>
      </c>
      <c r="W86" s="488">
        <v>6</v>
      </c>
      <c r="X86" s="212">
        <v>21</v>
      </c>
      <c r="Y86" s="233"/>
      <c r="Z86" s="508"/>
      <c r="AA86" s="508"/>
      <c r="AB86" s="458">
        <v>-1</v>
      </c>
      <c r="AC86" s="225">
        <f t="shared" si="6"/>
        <v>-0.81936685288640598</v>
      </c>
      <c r="AD86" s="194"/>
      <c r="AE86" s="490">
        <v>0</v>
      </c>
      <c r="AF86" s="490"/>
      <c r="AG86" s="154">
        <v>12.3</v>
      </c>
      <c r="AH86" s="154">
        <v>3.7</v>
      </c>
      <c r="AI86" s="154"/>
      <c r="AJ86" s="603">
        <v>11.8</v>
      </c>
      <c r="AK86" s="607">
        <v>3.6</v>
      </c>
      <c r="AL86" s="11"/>
      <c r="AM86" s="11"/>
      <c r="AN86" s="11"/>
      <c r="AO86" s="11"/>
    </row>
    <row r="87" spans="1:41" s="181" customFormat="1" ht="16" customHeight="1">
      <c r="A87" s="125">
        <v>89</v>
      </c>
      <c r="B87" s="11" t="s">
        <v>1353</v>
      </c>
      <c r="C87" s="11" t="s">
        <v>1547</v>
      </c>
      <c r="D87" s="611" t="s">
        <v>1547</v>
      </c>
      <c r="E87" s="611"/>
      <c r="F87" s="611" t="s">
        <v>2457</v>
      </c>
      <c r="G87" s="611">
        <v>1996</v>
      </c>
      <c r="H87" s="611" t="s">
        <v>1527</v>
      </c>
      <c r="I87" s="11" t="s">
        <v>2680</v>
      </c>
      <c r="J87" s="508" t="s">
        <v>1419</v>
      </c>
      <c r="K87" s="461"/>
      <c r="L87" s="461" t="s">
        <v>2653</v>
      </c>
      <c r="M87" s="568"/>
      <c r="N87" s="509"/>
      <c r="O87" s="508"/>
      <c r="P87" s="571">
        <v>83.5</v>
      </c>
      <c r="Q87" s="617">
        <v>16.7</v>
      </c>
      <c r="R87" s="588">
        <v>20</v>
      </c>
      <c r="S87" s="490">
        <v>582</v>
      </c>
      <c r="T87" s="586">
        <v>372</v>
      </c>
      <c r="U87" s="458"/>
      <c r="V87" s="571">
        <v>62.1</v>
      </c>
      <c r="W87" s="616">
        <v>12.1</v>
      </c>
      <c r="X87" s="212">
        <v>20</v>
      </c>
      <c r="Y87" s="458"/>
      <c r="Z87" s="508"/>
      <c r="AA87" s="508"/>
      <c r="AB87" s="458">
        <v>1</v>
      </c>
      <c r="AC87" s="225">
        <f t="shared" si="6"/>
        <v>-1.7334573914947182</v>
      </c>
      <c r="AD87" s="189"/>
      <c r="AE87" s="159">
        <v>0</v>
      </c>
      <c r="AF87" s="159"/>
      <c r="AG87" s="593"/>
      <c r="AH87" s="593"/>
      <c r="AI87" s="593"/>
      <c r="AJ87" s="593"/>
      <c r="AK87" s="481"/>
      <c r="AL87" s="11"/>
      <c r="AM87" s="11"/>
      <c r="AN87" s="11"/>
      <c r="AO87" s="11"/>
    </row>
    <row r="88" spans="1:41" ht="16" customHeight="1">
      <c r="A88" s="125">
        <v>90</v>
      </c>
      <c r="B88" s="11" t="s">
        <v>1353</v>
      </c>
      <c r="C88" s="11" t="s">
        <v>1547</v>
      </c>
      <c r="D88" s="611" t="s">
        <v>1547</v>
      </c>
      <c r="E88" s="611"/>
      <c r="F88" s="611" t="s">
        <v>2457</v>
      </c>
      <c r="G88" s="611">
        <v>1999</v>
      </c>
      <c r="H88" s="611" t="s">
        <v>1527</v>
      </c>
      <c r="I88" s="11" t="s">
        <v>2680</v>
      </c>
      <c r="J88" s="508" t="s">
        <v>1419</v>
      </c>
      <c r="K88" s="461"/>
      <c r="L88" s="461" t="s">
        <v>2656</v>
      </c>
      <c r="M88" s="568" t="s">
        <v>1497</v>
      </c>
      <c r="N88" s="509"/>
      <c r="O88" s="508"/>
      <c r="P88" s="571">
        <v>67.400000000000006</v>
      </c>
      <c r="Q88" s="616">
        <v>11.2</v>
      </c>
      <c r="R88" s="588">
        <v>20</v>
      </c>
      <c r="S88" s="490">
        <v>744</v>
      </c>
      <c r="T88" s="586">
        <v>456</v>
      </c>
      <c r="U88" s="458" t="s">
        <v>1498</v>
      </c>
      <c r="V88" s="571">
        <v>56.6</v>
      </c>
      <c r="W88" s="616">
        <v>8.1999999999999993</v>
      </c>
      <c r="X88" s="212">
        <v>20</v>
      </c>
      <c r="Y88" s="458"/>
      <c r="Z88" s="508"/>
      <c r="AA88" s="508"/>
      <c r="AB88" s="458">
        <v>1</v>
      </c>
      <c r="AC88" s="225">
        <f t="shared" si="6"/>
        <v>-1.2909061540946543</v>
      </c>
      <c r="AD88" s="194"/>
      <c r="AE88" s="159">
        <v>0</v>
      </c>
      <c r="AF88" s="159"/>
      <c r="AG88" s="593"/>
      <c r="AH88" s="593"/>
      <c r="AI88" s="593"/>
      <c r="AJ88" s="593"/>
      <c r="AK88" s="481"/>
      <c r="AL88" s="11"/>
      <c r="AM88" s="11"/>
      <c r="AN88" s="11"/>
      <c r="AO88" s="11"/>
    </row>
    <row r="89" spans="1:41" ht="16" customHeight="1">
      <c r="A89" s="125">
        <v>96</v>
      </c>
      <c r="B89" s="11" t="s">
        <v>1353</v>
      </c>
      <c r="C89" s="11" t="s">
        <v>1547</v>
      </c>
      <c r="D89" s="611" t="s">
        <v>1547</v>
      </c>
      <c r="E89" s="611"/>
      <c r="F89" s="611" t="s">
        <v>662</v>
      </c>
      <c r="G89" s="611">
        <v>2001</v>
      </c>
      <c r="H89" s="611" t="s">
        <v>1527</v>
      </c>
      <c r="I89" s="11" t="s">
        <v>2680</v>
      </c>
      <c r="L89" s="108" t="s">
        <v>2683</v>
      </c>
      <c r="P89" s="157">
        <v>64.709999999999994</v>
      </c>
      <c r="Q89" s="150">
        <v>19.809999999999999</v>
      </c>
      <c r="R89" s="209">
        <v>23</v>
      </c>
      <c r="S89" s="159">
        <v>496.4</v>
      </c>
      <c r="T89" s="578">
        <v>230</v>
      </c>
      <c r="V89" s="157">
        <v>80.95</v>
      </c>
      <c r="W89" s="481">
        <v>22.62</v>
      </c>
      <c r="X89" s="209">
        <v>23</v>
      </c>
      <c r="AB89" s="11">
        <v>-1</v>
      </c>
      <c r="AC89" s="223">
        <f t="shared" si="6"/>
        <v>-0.70564102564102593</v>
      </c>
      <c r="AD89" s="193"/>
      <c r="AE89" s="159">
        <v>1</v>
      </c>
      <c r="AF89" s="151">
        <f>AVERAGE(AC76:AC89)</f>
        <v>-0.60641436530365256</v>
      </c>
      <c r="AG89">
        <v>10.7</v>
      </c>
      <c r="AH89">
        <v>3.4</v>
      </c>
      <c r="AJ89" s="593">
        <v>11.1</v>
      </c>
      <c r="AK89" s="481">
        <v>3.7</v>
      </c>
      <c r="AL89" s="11"/>
      <c r="AM89" s="11"/>
      <c r="AN89" s="11"/>
      <c r="AO89" s="11"/>
    </row>
    <row r="90" spans="1:41" ht="16" customHeight="1">
      <c r="A90" s="125">
        <v>11</v>
      </c>
      <c r="W90" s="481"/>
      <c r="AE90" s="159"/>
      <c r="AF90" s="159"/>
    </row>
    <row r="91" spans="1:41" ht="16" customHeight="1">
      <c r="A91" s="125">
        <v>13</v>
      </c>
      <c r="B91" s="125"/>
      <c r="C91" s="129"/>
      <c r="D91" s="129"/>
      <c r="F91" s="129"/>
      <c r="G91" s="125"/>
      <c r="L91" s="195"/>
      <c r="M91" s="564"/>
      <c r="N91" s="190"/>
      <c r="O91" s="190"/>
      <c r="P91" s="152"/>
      <c r="Q91" s="148"/>
      <c r="S91" s="149"/>
      <c r="T91" s="579"/>
      <c r="U91" s="149"/>
      <c r="V91" s="152"/>
      <c r="W91" s="150"/>
      <c r="Y91" s="125"/>
      <c r="Z91" s="188"/>
      <c r="AA91" s="188"/>
      <c r="AB91" s="129"/>
      <c r="AC91" s="223"/>
      <c r="AD91" s="189"/>
      <c r="AE91" s="159"/>
      <c r="AF91" s="159"/>
      <c r="AG91" s="187"/>
      <c r="AH91" s="187"/>
      <c r="AI91" s="178"/>
      <c r="AJ91" s="604"/>
      <c r="AK91" s="147"/>
      <c r="AL91" s="129"/>
      <c r="AM91" s="129"/>
      <c r="AN91" s="125"/>
      <c r="AO91" s="129"/>
    </row>
    <row r="92" spans="1:41" customFormat="1" ht="16" customHeight="1">
      <c r="A92" s="125">
        <v>18</v>
      </c>
      <c r="B92" s="125"/>
      <c r="C92" s="129"/>
      <c r="D92" s="129"/>
      <c r="E92" s="11"/>
      <c r="F92" s="129"/>
      <c r="G92" s="125"/>
      <c r="H92" s="11"/>
      <c r="I92" s="11"/>
      <c r="K92" s="108"/>
      <c r="L92" s="195"/>
      <c r="M92" s="564"/>
      <c r="N92" s="187"/>
      <c r="O92" s="187"/>
      <c r="P92" s="152"/>
      <c r="Q92" s="148"/>
      <c r="R92" s="209"/>
      <c r="S92" s="149"/>
      <c r="T92" s="579"/>
      <c r="U92" s="149"/>
      <c r="V92" s="152"/>
      <c r="W92" s="150"/>
      <c r="X92" s="209"/>
      <c r="Y92" s="125"/>
      <c r="Z92" s="188"/>
      <c r="AA92" s="188"/>
      <c r="AB92" s="129"/>
      <c r="AC92" s="223"/>
      <c r="AD92" s="189"/>
      <c r="AE92" s="159"/>
      <c r="AF92" s="159"/>
      <c r="AG92" s="187"/>
      <c r="AH92" s="187"/>
      <c r="AI92" s="178"/>
      <c r="AJ92" s="604"/>
      <c r="AK92" s="147"/>
      <c r="AL92" s="129"/>
      <c r="AM92" s="129"/>
      <c r="AN92" s="125"/>
      <c r="AO92" s="129"/>
    </row>
    <row r="93" spans="1:41" customFormat="1" ht="16" customHeight="1">
      <c r="A93" s="125">
        <v>31</v>
      </c>
      <c r="B93" s="125"/>
      <c r="C93" s="129"/>
      <c r="D93" s="562"/>
      <c r="E93" s="11"/>
      <c r="F93" s="129"/>
      <c r="G93" s="125"/>
      <c r="H93" s="11"/>
      <c r="I93" s="11"/>
      <c r="K93" s="108"/>
      <c r="L93" s="195"/>
      <c r="M93" s="564"/>
      <c r="N93" s="187"/>
      <c r="O93" s="187"/>
      <c r="P93" s="152"/>
      <c r="Q93" s="148"/>
      <c r="R93" s="209"/>
      <c r="S93" s="149"/>
      <c r="T93" s="579"/>
      <c r="U93" s="149"/>
      <c r="V93" s="152"/>
      <c r="W93" s="150"/>
      <c r="X93" s="209"/>
      <c r="Y93" s="125"/>
      <c r="Z93" s="188"/>
      <c r="AA93" s="188"/>
      <c r="AB93" s="129"/>
      <c r="AC93" s="223"/>
      <c r="AD93" s="178"/>
      <c r="AE93" s="159"/>
      <c r="AF93" s="159"/>
      <c r="AJ93" s="593"/>
      <c r="AK93" s="481"/>
      <c r="AL93" s="129"/>
      <c r="AM93" s="129"/>
      <c r="AN93" s="125"/>
      <c r="AO93" s="129"/>
    </row>
    <row r="94" spans="1:41" ht="16" customHeight="1">
      <c r="A94" s="125">
        <v>36</v>
      </c>
      <c r="B94" s="125"/>
      <c r="C94" s="129"/>
      <c r="D94" s="129"/>
      <c r="F94" s="129"/>
      <c r="G94" s="125"/>
      <c r="L94" s="195"/>
      <c r="M94" s="564"/>
      <c r="N94" s="187"/>
      <c r="O94" s="187"/>
      <c r="P94" s="152"/>
      <c r="Q94" s="148"/>
      <c r="S94" s="149"/>
      <c r="T94" s="579"/>
      <c r="U94" s="149"/>
      <c r="V94" s="152"/>
      <c r="W94" s="150"/>
      <c r="Y94" s="125"/>
      <c r="Z94" s="188"/>
      <c r="AA94" s="188"/>
      <c r="AB94" s="129"/>
      <c r="AC94" s="223"/>
      <c r="AD94" s="189"/>
      <c r="AE94" s="159"/>
      <c r="AF94" s="159"/>
      <c r="AG94" s="187"/>
      <c r="AH94" s="187"/>
      <c r="AI94" s="178"/>
      <c r="AJ94" s="604"/>
      <c r="AK94" s="147"/>
      <c r="AL94" s="129"/>
      <c r="AM94" s="129"/>
      <c r="AN94" s="125"/>
      <c r="AO94" s="129"/>
    </row>
    <row r="95" spans="1:41" ht="16" customHeight="1">
      <c r="A95" s="125">
        <v>49</v>
      </c>
      <c r="B95" s="125"/>
      <c r="C95" s="129"/>
      <c r="D95" s="129"/>
      <c r="F95" s="125"/>
      <c r="G95" s="125"/>
      <c r="L95" s="195"/>
      <c r="M95" s="564"/>
      <c r="N95" s="187"/>
      <c r="O95" s="187"/>
      <c r="P95" s="152"/>
      <c r="Q95" s="148"/>
      <c r="U95" s="159"/>
      <c r="V95" s="152"/>
      <c r="W95" s="150"/>
      <c r="Y95" s="125"/>
      <c r="Z95" s="188"/>
      <c r="AA95" s="188"/>
      <c r="AB95" s="129"/>
      <c r="AC95" s="223"/>
      <c r="AD95" s="189"/>
      <c r="AE95" s="159"/>
      <c r="AF95" s="159"/>
      <c r="AG95" s="187"/>
      <c r="AH95" s="187"/>
      <c r="AI95" s="178"/>
      <c r="AJ95" s="604"/>
      <c r="AK95" s="147"/>
      <c r="AL95" s="125"/>
      <c r="AM95" s="125"/>
      <c r="AN95" s="606"/>
      <c r="AO95" s="125"/>
    </row>
    <row r="96" spans="1:41" ht="16" customHeight="1">
      <c r="A96" s="125">
        <v>50</v>
      </c>
      <c r="B96" s="125"/>
      <c r="C96" s="129"/>
      <c r="D96" s="129"/>
      <c r="F96" s="125"/>
      <c r="G96" s="125"/>
      <c r="L96" s="195"/>
      <c r="M96" s="564"/>
      <c r="N96" s="187"/>
      <c r="O96" s="187"/>
      <c r="P96" s="152"/>
      <c r="Q96" s="148"/>
      <c r="U96" s="159"/>
      <c r="V96" s="152"/>
      <c r="W96" s="150"/>
      <c r="Y96" s="125"/>
      <c r="Z96" s="188"/>
      <c r="AA96" s="188"/>
      <c r="AB96" s="129"/>
      <c r="AC96" s="223"/>
      <c r="AD96" s="189"/>
      <c r="AE96" s="159"/>
      <c r="AF96" s="159"/>
      <c r="AG96" s="187"/>
      <c r="AH96" s="187"/>
      <c r="AI96" s="178"/>
      <c r="AJ96" s="604"/>
      <c r="AK96" s="147"/>
      <c r="AL96" s="125"/>
      <c r="AM96" s="125"/>
      <c r="AN96" s="606"/>
      <c r="AO96" s="125"/>
    </row>
    <row r="97" spans="1:41" ht="16" customHeight="1">
      <c r="A97" s="125">
        <v>61</v>
      </c>
      <c r="C97" s="129"/>
      <c r="D97" s="129"/>
      <c r="H97" s="125"/>
      <c r="I97" s="125"/>
      <c r="N97" s="510"/>
      <c r="W97" s="150"/>
      <c r="AC97" s="223"/>
      <c r="AD97" s="189"/>
      <c r="AE97" s="159"/>
      <c r="AF97" s="159"/>
      <c r="AJ97" s="593"/>
      <c r="AK97" s="481"/>
      <c r="AL97" s="11"/>
      <c r="AM97" s="11"/>
      <c r="AN97" s="11"/>
      <c r="AO97" s="11"/>
    </row>
    <row r="98" spans="1:41" ht="16" customHeight="1">
      <c r="A98" s="125">
        <v>71</v>
      </c>
      <c r="O98" s="191"/>
      <c r="W98" s="481"/>
      <c r="AC98" s="223"/>
      <c r="AE98" s="159"/>
      <c r="AF98" s="159"/>
    </row>
    <row r="99" spans="1:41" ht="16" customHeight="1">
      <c r="A99" s="125">
        <v>75</v>
      </c>
      <c r="C99" s="129"/>
      <c r="D99" s="129"/>
      <c r="N99" s="510"/>
      <c r="S99" s="453"/>
      <c r="T99" s="585"/>
      <c r="W99" s="481"/>
      <c r="Y99" s="125"/>
      <c r="AC99" s="223"/>
      <c r="AD99" s="189"/>
      <c r="AE99" s="159"/>
      <c r="AF99" s="159"/>
      <c r="AG99" s="154"/>
      <c r="AH99" s="154"/>
      <c r="AI99" s="154"/>
      <c r="AJ99" s="603"/>
      <c r="AK99" s="607"/>
      <c r="AL99" s="11"/>
      <c r="AM99" s="11"/>
      <c r="AN99" s="11"/>
      <c r="AO99" s="11"/>
    </row>
    <row r="100" spans="1:41" ht="16" customHeight="1">
      <c r="A100" s="125">
        <v>76</v>
      </c>
      <c r="N100" s="510"/>
      <c r="S100" s="453"/>
      <c r="T100" s="585"/>
      <c r="W100" s="481"/>
      <c r="Y100" s="125"/>
      <c r="AC100" s="223"/>
      <c r="AD100" s="189"/>
      <c r="AE100" s="159"/>
      <c r="AF100" s="159"/>
      <c r="AG100" s="154"/>
      <c r="AH100" s="154"/>
      <c r="AI100" s="154"/>
      <c r="AJ100" s="603"/>
      <c r="AK100" s="607"/>
      <c r="AL100" s="11"/>
      <c r="AM100" s="11"/>
      <c r="AN100" s="11"/>
      <c r="AO100" s="11"/>
    </row>
    <row r="101" spans="1:41" ht="16" customHeight="1">
      <c r="A101" s="125">
        <v>79</v>
      </c>
      <c r="C101" s="129"/>
      <c r="D101" s="129"/>
      <c r="H101" s="125"/>
      <c r="I101" s="125"/>
      <c r="N101" s="510"/>
      <c r="W101" s="150"/>
      <c r="AC101" s="223"/>
      <c r="AD101" s="189"/>
      <c r="AE101" s="159"/>
      <c r="AF101" s="159"/>
      <c r="AJ101" s="593"/>
      <c r="AK101" s="481"/>
      <c r="AL101" s="11"/>
      <c r="AM101" s="11"/>
      <c r="AN101" s="11"/>
      <c r="AO101" s="11"/>
    </row>
    <row r="102" spans="1:41" ht="16" customHeight="1">
      <c r="A102" s="125">
        <v>82</v>
      </c>
      <c r="C102" s="129"/>
      <c r="D102" s="129"/>
      <c r="E102" s="129"/>
      <c r="N102" s="510"/>
      <c r="W102" s="150"/>
      <c r="AC102" s="223"/>
      <c r="AD102" s="193"/>
      <c r="AE102" s="159"/>
      <c r="AF102" s="159"/>
      <c r="AG102" s="146"/>
      <c r="AH102" s="146"/>
      <c r="AI102" s="593"/>
      <c r="AJ102" s="186"/>
      <c r="AK102" s="31"/>
      <c r="AL102" s="11"/>
      <c r="AM102" s="11"/>
      <c r="AN102" s="11"/>
      <c r="AO102" s="11"/>
    </row>
    <row r="103" spans="1:41" ht="16" customHeight="1">
      <c r="A103" s="125">
        <v>86</v>
      </c>
      <c r="N103" s="510"/>
      <c r="W103" s="150"/>
      <c r="AC103" s="223"/>
      <c r="AD103" s="202"/>
      <c r="AE103" s="159"/>
      <c r="AF103" s="159"/>
      <c r="AG103" s="154"/>
      <c r="AH103" s="154"/>
      <c r="AI103" s="154"/>
      <c r="AJ103" s="593"/>
      <c r="AK103" s="481"/>
      <c r="AL103" s="11"/>
      <c r="AM103" s="11"/>
      <c r="AN103" s="11"/>
      <c r="AO103" s="11"/>
    </row>
    <row r="104" spans="1:41" ht="16" customHeight="1">
      <c r="A104" s="125">
        <v>93</v>
      </c>
      <c r="N104" s="510"/>
      <c r="R104" s="216"/>
      <c r="W104" s="150"/>
      <c r="AC104" s="223"/>
      <c r="AD104" s="189"/>
      <c r="AE104" s="159"/>
      <c r="AF104" s="159"/>
      <c r="AG104" s="593"/>
      <c r="AH104" s="593"/>
      <c r="AI104" s="593"/>
      <c r="AJ104" s="593"/>
      <c r="AK104" s="481"/>
      <c r="AL104" s="11"/>
      <c r="AM104" s="11"/>
      <c r="AN104" s="11"/>
      <c r="AO104" s="11"/>
    </row>
    <row r="105" spans="1:41" ht="16" customHeight="1">
      <c r="A105" s="125">
        <v>98</v>
      </c>
      <c r="C105" s="129"/>
      <c r="D105" s="129"/>
      <c r="M105"/>
      <c r="N105" s="125"/>
      <c r="W105" s="150"/>
      <c r="AC105" s="223"/>
      <c r="AD105" s="202"/>
      <c r="AE105" s="159"/>
      <c r="AF105" s="159"/>
      <c r="AJ105" s="593"/>
      <c r="AK105" s="481"/>
      <c r="AL105" s="11"/>
      <c r="AM105" s="11"/>
      <c r="AN105" s="11"/>
      <c r="AO105" s="11"/>
    </row>
    <row r="106" spans="1:41" ht="16" customHeight="1">
      <c r="A106" s="125">
        <v>99</v>
      </c>
      <c r="B106" s="11" t="s">
        <v>1553</v>
      </c>
      <c r="C106" s="11" t="s">
        <v>1548</v>
      </c>
      <c r="D106" s="129" t="s">
        <v>2468</v>
      </c>
      <c r="E106" s="11" t="s">
        <v>2451</v>
      </c>
      <c r="F106" s="11" t="s">
        <v>2471</v>
      </c>
      <c r="G106" s="11">
        <v>1987</v>
      </c>
      <c r="H106" s="11" t="s">
        <v>1665</v>
      </c>
      <c r="J106" t="s">
        <v>961</v>
      </c>
      <c r="K106" s="108" t="s">
        <v>961</v>
      </c>
      <c r="L106" s="514" t="s">
        <v>1669</v>
      </c>
      <c r="M106" s="125"/>
      <c r="P106" s="157">
        <v>9.1</v>
      </c>
      <c r="Q106" s="150">
        <v>11.08</v>
      </c>
      <c r="R106" s="209">
        <v>22</v>
      </c>
      <c r="S106" s="159">
        <v>1529.32</v>
      </c>
      <c r="V106" s="157">
        <v>7.67</v>
      </c>
      <c r="W106" s="481">
        <v>7.11</v>
      </c>
      <c r="X106" s="209">
        <v>12</v>
      </c>
      <c r="Y106" s="11" t="s">
        <v>1149</v>
      </c>
      <c r="AB106" s="11">
        <v>1</v>
      </c>
      <c r="AC106" s="219">
        <v>-0.2</v>
      </c>
      <c r="AE106" s="159">
        <v>1</v>
      </c>
      <c r="AF106" s="159"/>
      <c r="AG106">
        <v>16.399999999999999</v>
      </c>
      <c r="AH106">
        <v>5.6</v>
      </c>
      <c r="AJ106">
        <v>13.4</v>
      </c>
      <c r="AK106">
        <v>3.9</v>
      </c>
      <c r="AL106" t="s">
        <v>1667</v>
      </c>
      <c r="AN106" t="s">
        <v>1670</v>
      </c>
    </row>
    <row r="107" spans="1:41" ht="16" customHeight="1">
      <c r="A107" s="125">
        <v>100</v>
      </c>
      <c r="B107" s="11" t="s">
        <v>1553</v>
      </c>
      <c r="C107" s="129" t="s">
        <v>1548</v>
      </c>
      <c r="D107" s="129" t="s">
        <v>1548</v>
      </c>
      <c r="E107" s="11" t="s">
        <v>2451</v>
      </c>
      <c r="F107" s="11" t="s">
        <v>1389</v>
      </c>
      <c r="G107" s="11">
        <v>2007</v>
      </c>
      <c r="H107" s="125" t="s">
        <v>2035</v>
      </c>
      <c r="I107" s="125"/>
      <c r="J107" s="590" t="s">
        <v>961</v>
      </c>
      <c r="K107" s="108" t="s">
        <v>961</v>
      </c>
      <c r="L107" s="108" t="s">
        <v>2625</v>
      </c>
      <c r="M107" s="514" t="s">
        <v>1249</v>
      </c>
      <c r="N107" s="510" t="s">
        <v>1251</v>
      </c>
      <c r="P107" s="157">
        <v>8.73</v>
      </c>
      <c r="Q107" s="150">
        <v>3.35</v>
      </c>
      <c r="R107" s="209">
        <v>15</v>
      </c>
      <c r="S107" s="453">
        <v>660</v>
      </c>
      <c r="T107" s="578">
        <v>337</v>
      </c>
      <c r="V107" s="157">
        <v>10</v>
      </c>
      <c r="W107" s="150">
        <v>3</v>
      </c>
      <c r="X107" s="209">
        <v>20</v>
      </c>
      <c r="AB107" s="11">
        <v>-1</v>
      </c>
      <c r="AC107" s="223">
        <f>((V107-P107)/W107)*AB107* (1-(3/(4*(R107+X107-2)-1)))</f>
        <v>-0.41363867684478356</v>
      </c>
      <c r="AD107" s="189"/>
      <c r="AE107" s="159">
        <v>1</v>
      </c>
      <c r="AF107" s="159"/>
      <c r="AG107" s="154">
        <v>14.8</v>
      </c>
      <c r="AH107">
        <f>(20-8)/4</f>
        <v>3</v>
      </c>
      <c r="AJ107" s="593"/>
      <c r="AK107" s="481"/>
      <c r="AL107" s="11"/>
      <c r="AM107" s="11"/>
      <c r="AN107" s="11"/>
      <c r="AO107" s="11"/>
    </row>
    <row r="108" spans="1:41" s="31" customFormat="1" ht="16" customHeight="1">
      <c r="A108" s="125">
        <v>101</v>
      </c>
      <c r="B108" s="11" t="s">
        <v>1553</v>
      </c>
      <c r="C108" s="129" t="s">
        <v>1548</v>
      </c>
      <c r="D108" s="129" t="s">
        <v>1548</v>
      </c>
      <c r="E108" s="11" t="s">
        <v>2451</v>
      </c>
      <c r="F108" s="11" t="s">
        <v>1389</v>
      </c>
      <c r="G108" s="11">
        <v>2007</v>
      </c>
      <c r="H108" s="125" t="s">
        <v>2035</v>
      </c>
      <c r="I108" s="125"/>
      <c r="J108" s="590" t="s">
        <v>961</v>
      </c>
      <c r="K108" s="108" t="s">
        <v>961</v>
      </c>
      <c r="L108" s="108" t="s">
        <v>2626</v>
      </c>
      <c r="M108" s="514" t="s">
        <v>1250</v>
      </c>
      <c r="N108" s="510" t="s">
        <v>1251</v>
      </c>
      <c r="O108"/>
      <c r="P108" s="157">
        <v>9.5399999999999991</v>
      </c>
      <c r="Q108" s="150">
        <v>2.0699999999999998</v>
      </c>
      <c r="R108" s="209">
        <v>15</v>
      </c>
      <c r="S108" s="453">
        <v>660</v>
      </c>
      <c r="T108" s="578">
        <v>337</v>
      </c>
      <c r="U108" s="11"/>
      <c r="V108" s="157">
        <v>10</v>
      </c>
      <c r="W108" s="150">
        <v>3</v>
      </c>
      <c r="X108" s="209">
        <v>20</v>
      </c>
      <c r="Y108" s="11"/>
      <c r="Z108"/>
      <c r="AA108"/>
      <c r="AB108" s="11">
        <v>-1</v>
      </c>
      <c r="AC108" s="223">
        <f>((V108-P108)/W108)*AB108* (1-(3/(4*(R108+X108-2)-1)))</f>
        <v>-0.14982188295165422</v>
      </c>
      <c r="AD108" s="189"/>
      <c r="AE108" s="159">
        <v>1</v>
      </c>
      <c r="AF108" s="159"/>
      <c r="AG108" s="154">
        <v>14.8</v>
      </c>
      <c r="AH108">
        <f>(20-8)/4</f>
        <v>3</v>
      </c>
      <c r="AI108"/>
      <c r="AJ108" s="593"/>
      <c r="AK108" s="481"/>
      <c r="AL108" s="11"/>
      <c r="AM108" s="11"/>
      <c r="AN108" s="11"/>
      <c r="AO108" s="11"/>
    </row>
    <row r="109" spans="1:41" customFormat="1" ht="16" customHeight="1">
      <c r="A109" s="125">
        <v>102</v>
      </c>
      <c r="B109" s="11" t="s">
        <v>1553</v>
      </c>
      <c r="C109" s="129" t="s">
        <v>1548</v>
      </c>
      <c r="D109" s="129" t="s">
        <v>1548</v>
      </c>
      <c r="E109" s="11" t="s">
        <v>2451</v>
      </c>
      <c r="F109" s="11" t="s">
        <v>1389</v>
      </c>
      <c r="G109" s="11">
        <v>2007</v>
      </c>
      <c r="H109" s="11" t="s">
        <v>2037</v>
      </c>
      <c r="I109" s="11"/>
      <c r="J109" t="s">
        <v>1419</v>
      </c>
      <c r="K109" s="108" t="s">
        <v>1419</v>
      </c>
      <c r="L109" s="108" t="s">
        <v>1528</v>
      </c>
      <c r="M109" s="514" t="s">
        <v>1249</v>
      </c>
      <c r="N109" s="510" t="s">
        <v>1251</v>
      </c>
      <c r="P109" s="157">
        <v>9.4</v>
      </c>
      <c r="Q109" s="150">
        <v>4.3</v>
      </c>
      <c r="R109" s="209">
        <v>15</v>
      </c>
      <c r="S109" s="453">
        <v>660</v>
      </c>
      <c r="T109" s="578">
        <v>337</v>
      </c>
      <c r="U109" s="11"/>
      <c r="V109" s="157">
        <v>10</v>
      </c>
      <c r="W109" s="150">
        <v>3</v>
      </c>
      <c r="X109" s="209">
        <v>20</v>
      </c>
      <c r="Y109" s="11"/>
      <c r="AB109" s="11">
        <v>-1</v>
      </c>
      <c r="AC109" s="223">
        <f>((V109-P109)/W109)*AB109* (1-(3/(4*(R109+X109-2)-1)))</f>
        <v>-0.19541984732824413</v>
      </c>
      <c r="AD109" s="189"/>
      <c r="AE109" s="159">
        <v>1</v>
      </c>
      <c r="AF109" s="159"/>
      <c r="AG109" s="154">
        <v>14.8</v>
      </c>
      <c r="AH109">
        <f>(20-8)/4</f>
        <v>3</v>
      </c>
      <c r="AJ109" s="593"/>
      <c r="AK109" s="481"/>
      <c r="AL109" s="11"/>
      <c r="AM109" s="11"/>
      <c r="AN109" s="11"/>
      <c r="AO109" s="11"/>
    </row>
    <row r="110" spans="1:41" ht="16" customHeight="1">
      <c r="A110" s="125">
        <v>103</v>
      </c>
      <c r="B110" s="11" t="s">
        <v>1553</v>
      </c>
      <c r="C110" s="129" t="s">
        <v>1548</v>
      </c>
      <c r="D110" s="129" t="s">
        <v>1548</v>
      </c>
      <c r="E110" s="11" t="s">
        <v>2451</v>
      </c>
      <c r="F110" s="11" t="s">
        <v>1389</v>
      </c>
      <c r="G110" s="11">
        <v>2007</v>
      </c>
      <c r="H110" s="11" t="s">
        <v>2037</v>
      </c>
      <c r="J110" t="s">
        <v>1419</v>
      </c>
      <c r="K110" s="108" t="s">
        <v>1419</v>
      </c>
      <c r="L110" s="108" t="s">
        <v>1529</v>
      </c>
      <c r="M110" s="514" t="s">
        <v>1250</v>
      </c>
      <c r="N110" s="510" t="s">
        <v>1251</v>
      </c>
      <c r="P110" s="157">
        <v>8.26</v>
      </c>
      <c r="Q110" s="150">
        <v>4.2</v>
      </c>
      <c r="R110" s="209">
        <v>15</v>
      </c>
      <c r="S110" s="453">
        <v>660</v>
      </c>
      <c r="T110" s="578">
        <v>337</v>
      </c>
      <c r="V110" s="157">
        <v>10</v>
      </c>
      <c r="W110" s="150">
        <v>3</v>
      </c>
      <c r="X110" s="209">
        <v>20</v>
      </c>
      <c r="AB110" s="11">
        <v>-1</v>
      </c>
      <c r="AC110" s="223">
        <f>((V110-P110)/W110)*AB110* (1-(3/(4*(R110+X110-2)-1)))</f>
        <v>-0.56671755725190842</v>
      </c>
      <c r="AD110" s="189"/>
      <c r="AE110" s="159">
        <v>1</v>
      </c>
      <c r="AF110" s="159"/>
      <c r="AG110" s="154">
        <v>14.8</v>
      </c>
      <c r="AH110">
        <f>(20-8)/4</f>
        <v>3</v>
      </c>
      <c r="AJ110" s="593"/>
      <c r="AK110" s="481"/>
      <c r="AL110" s="11"/>
      <c r="AM110" s="11"/>
      <c r="AN110" s="11"/>
      <c r="AO110" s="11"/>
    </row>
    <row r="111" spans="1:41" ht="16" customHeight="1">
      <c r="A111" s="125"/>
      <c r="B111" s="125"/>
      <c r="C111" s="129"/>
      <c r="D111" s="129"/>
      <c r="F111" s="129"/>
      <c r="G111" s="125"/>
      <c r="H111" s="125"/>
      <c r="I111" s="125"/>
      <c r="L111" s="195"/>
      <c r="M111" s="564"/>
      <c r="N111" s="187"/>
      <c r="O111" s="187"/>
      <c r="P111" s="152"/>
      <c r="Q111" s="148"/>
      <c r="R111" s="215"/>
      <c r="S111" s="149"/>
      <c r="T111" s="579"/>
      <c r="U111" s="153"/>
      <c r="V111" s="152"/>
      <c r="W111" s="558"/>
      <c r="X111" s="215"/>
      <c r="Y111" s="125"/>
      <c r="Z111" s="188"/>
      <c r="AA111" s="188"/>
      <c r="AB111" s="129"/>
      <c r="AC111" s="223"/>
      <c r="AD111" s="189"/>
      <c r="AE111" s="159"/>
      <c r="AF111" s="159"/>
      <c r="AG111" s="187"/>
      <c r="AH111" s="187"/>
      <c r="AI111" s="178"/>
      <c r="AJ111" s="604"/>
      <c r="AK111" s="147"/>
      <c r="AL111" s="129"/>
      <c r="AM111" s="129"/>
      <c r="AN111" s="125"/>
      <c r="AO111" s="129"/>
    </row>
    <row r="112" spans="1:41" customFormat="1" ht="16" customHeight="1">
      <c r="A112" s="125"/>
      <c r="B112" s="125"/>
      <c r="C112" s="129"/>
      <c r="D112" s="129"/>
      <c r="E112" s="11"/>
      <c r="F112" s="129"/>
      <c r="G112" s="125"/>
      <c r="H112" s="11"/>
      <c r="I112" s="11"/>
      <c r="K112" s="108"/>
      <c r="L112" s="195"/>
      <c r="M112" s="187"/>
      <c r="O112" s="187"/>
      <c r="P112" s="152"/>
      <c r="Q112" s="148"/>
      <c r="R112" s="209"/>
      <c r="S112" s="149"/>
      <c r="T112" s="579"/>
      <c r="U112" s="149"/>
      <c r="V112" s="152"/>
      <c r="W112" s="558"/>
      <c r="X112" s="209"/>
      <c r="Y112" s="125"/>
      <c r="Z112" s="188"/>
      <c r="AA112" s="188"/>
      <c r="AB112" s="129"/>
      <c r="AC112" s="223"/>
      <c r="AD112" s="189"/>
      <c r="AE112" s="11"/>
      <c r="AF112" s="11"/>
      <c r="AJ112" s="593"/>
      <c r="AK112" s="481"/>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17"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2671</v>
      </c>
    </row>
    <row r="2" spans="1:37" ht="18.75" customHeight="1">
      <c r="D2" s="417" t="s">
        <v>1838</v>
      </c>
      <c r="E2" s="120" t="s">
        <v>1944</v>
      </c>
      <c r="F2" s="31" t="s">
        <v>1945</v>
      </c>
      <c r="G2" s="31" t="s">
        <v>1946</v>
      </c>
      <c r="H2" s="31" t="s">
        <v>1947</v>
      </c>
    </row>
    <row r="3" spans="1:37" ht="42" customHeight="1">
      <c r="C3" s="31"/>
      <c r="D3" s="642" t="s">
        <v>909</v>
      </c>
      <c r="E3" s="642"/>
      <c r="F3" s="642"/>
      <c r="G3" s="642"/>
      <c r="H3" s="109"/>
      <c r="I3" s="197" t="s">
        <v>910</v>
      </c>
      <c r="J3" s="406" t="s">
        <v>1079</v>
      </c>
      <c r="K3" s="678" t="s">
        <v>911</v>
      </c>
      <c r="L3" s="678"/>
      <c r="M3" s="678"/>
      <c r="N3" s="429" t="s">
        <v>914</v>
      </c>
      <c r="O3" s="679" t="s">
        <v>915</v>
      </c>
      <c r="P3" s="679"/>
      <c r="Q3" s="679"/>
      <c r="R3" s="406" t="s">
        <v>188</v>
      </c>
      <c r="S3" s="407" t="s">
        <v>912</v>
      </c>
      <c r="T3" s="408" t="s">
        <v>913</v>
      </c>
      <c r="U3" s="680" t="s">
        <v>1080</v>
      </c>
      <c r="V3" s="680"/>
      <c r="W3" s="406"/>
      <c r="X3" s="681" t="s">
        <v>920</v>
      </c>
      <c r="Y3" s="681"/>
    </row>
    <row r="4" spans="1:37" ht="36" customHeight="1">
      <c r="A4" s="120" t="s">
        <v>1081</v>
      </c>
      <c r="B4" s="120"/>
      <c r="C4" s="109" t="s">
        <v>922</v>
      </c>
      <c r="D4" s="440" t="s">
        <v>922</v>
      </c>
      <c r="E4" s="109" t="s">
        <v>1948</v>
      </c>
      <c r="F4" s="109" t="s">
        <v>1082</v>
      </c>
      <c r="G4" s="244" t="s">
        <v>923</v>
      </c>
      <c r="H4" s="109" t="s">
        <v>1177</v>
      </c>
      <c r="I4" s="30"/>
      <c r="J4" s="30"/>
      <c r="K4" s="410" t="s">
        <v>452</v>
      </c>
      <c r="L4" s="410" t="s">
        <v>1083</v>
      </c>
      <c r="M4" s="409" t="s">
        <v>423</v>
      </c>
      <c r="N4" s="30"/>
      <c r="O4" s="410" t="s">
        <v>452</v>
      </c>
      <c r="P4" s="410" t="s">
        <v>1083</v>
      </c>
      <c r="Q4" s="409" t="s">
        <v>423</v>
      </c>
      <c r="R4" s="244"/>
      <c r="T4" s="30"/>
      <c r="U4" s="647"/>
      <c r="V4" s="647"/>
      <c r="W4" s="30"/>
      <c r="X4" s="647"/>
      <c r="Y4" s="647"/>
    </row>
    <row r="5" spans="1:37" ht="18" customHeight="1">
      <c r="A5" s="31" t="s">
        <v>1144</v>
      </c>
      <c r="B5" s="120" t="s">
        <v>2013</v>
      </c>
      <c r="C5" s="31" t="s">
        <v>1818</v>
      </c>
      <c r="D5" s="135" t="s">
        <v>1818</v>
      </c>
      <c r="E5" s="31" t="s">
        <v>1950</v>
      </c>
      <c r="F5" s="31"/>
      <c r="G5" s="31">
        <v>2008</v>
      </c>
      <c r="H5" s="31" t="s">
        <v>253</v>
      </c>
      <c r="I5" s="31">
        <v>46</v>
      </c>
      <c r="J5" s="31" t="s">
        <v>2014</v>
      </c>
      <c r="K5" s="156">
        <v>7.5</v>
      </c>
      <c r="L5" s="31">
        <v>3.3</v>
      </c>
      <c r="M5" s="31" t="s">
        <v>1819</v>
      </c>
      <c r="N5" s="31" t="s">
        <v>1820</v>
      </c>
      <c r="O5" s="31">
        <v>312</v>
      </c>
      <c r="P5" s="31">
        <v>132</v>
      </c>
      <c r="Q5" s="31" t="s">
        <v>1821</v>
      </c>
      <c r="R5" s="31">
        <v>104</v>
      </c>
      <c r="S5" s="31" t="s">
        <v>905</v>
      </c>
      <c r="T5" s="31" t="s">
        <v>1759</v>
      </c>
      <c r="U5" s="31" t="s">
        <v>1732</v>
      </c>
      <c r="X5" s="31" t="s">
        <v>2015</v>
      </c>
    </row>
    <row r="6" spans="1:37" ht="14.25" customHeight="1">
      <c r="A6" s="31" t="s">
        <v>1144</v>
      </c>
      <c r="B6" s="120" t="s">
        <v>2013</v>
      </c>
      <c r="C6" s="11" t="s">
        <v>2071</v>
      </c>
      <c r="D6" s="108" t="s">
        <v>2071</v>
      </c>
      <c r="E6" s="11"/>
      <c r="F6" s="11" t="s">
        <v>2084</v>
      </c>
      <c r="G6" s="11">
        <v>2000</v>
      </c>
      <c r="H6" s="11" t="s">
        <v>1326</v>
      </c>
      <c r="I6" s="11">
        <v>57</v>
      </c>
      <c r="J6" s="11" t="s">
        <v>2085</v>
      </c>
      <c r="K6" s="157">
        <v>8.14</v>
      </c>
      <c r="L6" s="11">
        <v>0.3</v>
      </c>
      <c r="M6" s="11" t="s">
        <v>24</v>
      </c>
      <c r="N6" s="11" t="s">
        <v>1820</v>
      </c>
      <c r="O6" s="11">
        <v>466</v>
      </c>
      <c r="P6" s="11">
        <v>154</v>
      </c>
      <c r="Q6" s="11" t="s">
        <v>24</v>
      </c>
      <c r="R6" s="11" t="s">
        <v>2086</v>
      </c>
      <c r="S6" s="11" t="s">
        <v>2138</v>
      </c>
      <c r="T6" s="11"/>
      <c r="U6" s="11" t="s">
        <v>2087</v>
      </c>
      <c r="V6" s="11" t="s">
        <v>1366</v>
      </c>
      <c r="W6" s="11"/>
      <c r="X6" s="11"/>
      <c r="Y6" s="11"/>
      <c r="Z6" s="11"/>
      <c r="AA6" s="11"/>
      <c r="AB6" s="11"/>
      <c r="AC6" s="11"/>
      <c r="AD6" s="11"/>
      <c r="AE6" s="11"/>
      <c r="AF6" s="11"/>
      <c r="AG6" s="11"/>
      <c r="AH6" s="11"/>
      <c r="AI6" s="11"/>
      <c r="AJ6" s="11"/>
      <c r="AK6" s="11"/>
    </row>
    <row r="7" spans="1:37" ht="18.75" customHeight="1">
      <c r="A7" s="31" t="s">
        <v>1144</v>
      </c>
      <c r="C7" s="30" t="s">
        <v>1895</v>
      </c>
      <c r="D7" s="122" t="s">
        <v>1190</v>
      </c>
      <c r="E7" s="30"/>
      <c r="F7" s="30"/>
      <c r="G7" s="31">
        <v>2003</v>
      </c>
      <c r="H7" s="30" t="s">
        <v>253</v>
      </c>
      <c r="I7" s="31">
        <v>46</v>
      </c>
      <c r="J7" s="31" t="s">
        <v>1422</v>
      </c>
      <c r="K7" s="421">
        <f>129/12</f>
        <v>10.75</v>
      </c>
      <c r="L7" s="30">
        <v>2.1</v>
      </c>
      <c r="M7" s="412" t="s">
        <v>1191</v>
      </c>
      <c r="N7" s="31" t="s">
        <v>1957</v>
      </c>
      <c r="O7" s="411">
        <f>8.1*60.5364</f>
        <v>490.34483999999998</v>
      </c>
      <c r="P7" s="411">
        <f>6.2*60.5364</f>
        <v>375.32568000000003</v>
      </c>
      <c r="Q7" s="30" t="s">
        <v>1192</v>
      </c>
      <c r="R7" s="30" t="s">
        <v>1423</v>
      </c>
      <c r="S7" s="30" t="s">
        <v>1196</v>
      </c>
      <c r="T7" s="30" t="s">
        <v>1195</v>
      </c>
      <c r="U7" s="30"/>
      <c r="X7" s="28"/>
      <c r="Z7" s="413"/>
      <c r="AD7" s="30"/>
      <c r="AE7" s="30"/>
      <c r="AH7" s="30"/>
      <c r="AI7" s="30"/>
      <c r="AK7" s="31" t="s">
        <v>1139</v>
      </c>
    </row>
    <row r="8" spans="1:37" ht="18" customHeight="1">
      <c r="A8" s="31" t="s">
        <v>1144</v>
      </c>
      <c r="B8" s="120" t="s">
        <v>2013</v>
      </c>
      <c r="C8" s="11" t="s">
        <v>2099</v>
      </c>
      <c r="D8" s="108" t="s">
        <v>2099</v>
      </c>
      <c r="E8" s="11"/>
      <c r="F8" s="11"/>
      <c r="G8" s="11">
        <v>2022</v>
      </c>
      <c r="H8" s="11" t="s">
        <v>2100</v>
      </c>
      <c r="I8" s="11">
        <v>44</v>
      </c>
      <c r="J8" s="11" t="s">
        <v>2101</v>
      </c>
      <c r="K8" s="157">
        <v>10.8</v>
      </c>
      <c r="L8" s="11">
        <v>2.9</v>
      </c>
      <c r="M8" s="177" t="s">
        <v>1925</v>
      </c>
      <c r="N8" s="11" t="s">
        <v>1768</v>
      </c>
      <c r="O8" s="11">
        <v>413</v>
      </c>
      <c r="P8" s="11">
        <v>233</v>
      </c>
      <c r="Q8" s="11" t="s">
        <v>2102</v>
      </c>
      <c r="R8" s="11">
        <v>100.1</v>
      </c>
      <c r="S8" s="11" t="s">
        <v>1995</v>
      </c>
      <c r="T8" s="11" t="s">
        <v>1759</v>
      </c>
      <c r="U8" s="11" t="s">
        <v>2103</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1">
        <v>10.92</v>
      </c>
      <c r="L9" s="30">
        <v>1.3</v>
      </c>
      <c r="M9" s="30" t="s">
        <v>486</v>
      </c>
      <c r="N9" s="31" t="s">
        <v>485</v>
      </c>
      <c r="O9" s="411">
        <v>583</v>
      </c>
      <c r="P9" s="411">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1959</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2013</v>
      </c>
      <c r="C11" s="11" t="s">
        <v>2094</v>
      </c>
      <c r="D11" s="108" t="s">
        <v>2094</v>
      </c>
      <c r="E11" s="11"/>
      <c r="F11" s="11" t="s">
        <v>2095</v>
      </c>
      <c r="G11" s="11">
        <v>2017</v>
      </c>
      <c r="H11" s="11" t="s">
        <v>1324</v>
      </c>
      <c r="I11" s="11">
        <v>10</v>
      </c>
      <c r="J11" s="424" t="s">
        <v>2096</v>
      </c>
      <c r="K11" s="157">
        <v>12.5</v>
      </c>
      <c r="L11" s="11">
        <v>2.8</v>
      </c>
      <c r="M11" s="11" t="s">
        <v>24</v>
      </c>
      <c r="N11" s="11" t="s">
        <v>1768</v>
      </c>
      <c r="O11" s="11">
        <f>9.7*88.4</f>
        <v>857.48</v>
      </c>
      <c r="P11" s="11">
        <f>4.84*88.4</f>
        <v>427.85599999999999</v>
      </c>
      <c r="Q11" s="11" t="s">
        <v>24</v>
      </c>
      <c r="R11" s="11" t="s">
        <v>2097</v>
      </c>
      <c r="S11" s="11" t="s">
        <v>1995</v>
      </c>
      <c r="T11" s="11"/>
      <c r="U11" s="11" t="s">
        <v>2098</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1826</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1962</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1949</v>
      </c>
      <c r="D14" s="135" t="s">
        <v>1949</v>
      </c>
      <c r="E14" s="31" t="s">
        <v>1950</v>
      </c>
      <c r="F14" s="120" t="s">
        <v>2118</v>
      </c>
      <c r="G14" s="31">
        <v>2016</v>
      </c>
      <c r="H14" s="134" t="s">
        <v>253</v>
      </c>
      <c r="I14" s="31">
        <v>29</v>
      </c>
      <c r="J14" s="31"/>
      <c r="K14" s="156">
        <v>14.8</v>
      </c>
      <c r="L14" s="31"/>
      <c r="M14" s="136" t="s">
        <v>763</v>
      </c>
      <c r="N14" s="30" t="s">
        <v>762</v>
      </c>
      <c r="O14" s="145">
        <v>562.4</v>
      </c>
      <c r="P14" s="145">
        <v>290</v>
      </c>
      <c r="Q14" s="31" t="s">
        <v>24</v>
      </c>
      <c r="R14" s="31" t="s">
        <v>24</v>
      </c>
      <c r="S14" s="30" t="s">
        <v>1112</v>
      </c>
      <c r="T14" s="31" t="s">
        <v>1826</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1970</v>
      </c>
      <c r="F15" s="425" t="s">
        <v>2008</v>
      </c>
      <c r="G15" s="31">
        <v>2014</v>
      </c>
      <c r="H15" s="31" t="s">
        <v>250</v>
      </c>
      <c r="I15" s="31">
        <v>17</v>
      </c>
      <c r="J15" s="31" t="s">
        <v>2009</v>
      </c>
      <c r="K15" s="156">
        <v>14.9</v>
      </c>
      <c r="L15" s="31">
        <v>3.28</v>
      </c>
      <c r="M15" s="180" t="s">
        <v>1823</v>
      </c>
      <c r="N15" s="31" t="s">
        <v>1768</v>
      </c>
      <c r="O15" s="31">
        <v>697</v>
      </c>
      <c r="P15" s="31">
        <v>279</v>
      </c>
      <c r="Q15" s="31" t="s">
        <v>1769</v>
      </c>
      <c r="R15" s="31">
        <v>95.05</v>
      </c>
      <c r="S15" s="31" t="s">
        <v>2010</v>
      </c>
      <c r="T15" s="31" t="s">
        <v>2011</v>
      </c>
      <c r="U15" s="30" t="s">
        <v>2012</v>
      </c>
      <c r="V15" s="31"/>
      <c r="W15" s="31"/>
      <c r="X15" s="244"/>
      <c r="Y15" s="31"/>
      <c r="Z15" s="31"/>
      <c r="AA15" s="31"/>
      <c r="AB15" s="31"/>
      <c r="AC15" s="31"/>
      <c r="AD15" s="31"/>
      <c r="AE15" s="31"/>
      <c r="AF15" s="31"/>
      <c r="AG15" s="31"/>
      <c r="AH15" s="31"/>
      <c r="AI15" s="31"/>
      <c r="AJ15" s="31"/>
      <c r="AK15" s="31"/>
    </row>
    <row r="16" spans="1:37" ht="18.75" customHeight="1">
      <c r="A16" s="142" t="s">
        <v>1144</v>
      </c>
      <c r="B16" s="120" t="s">
        <v>2013</v>
      </c>
      <c r="C16" s="31" t="s">
        <v>1824</v>
      </c>
      <c r="D16" s="135" t="s">
        <v>1824</v>
      </c>
      <c r="E16" s="31" t="s">
        <v>2080</v>
      </c>
      <c r="G16" s="31">
        <v>2019</v>
      </c>
      <c r="H16" s="31" t="s">
        <v>226</v>
      </c>
      <c r="I16" s="31">
        <v>28</v>
      </c>
      <c r="J16" s="31" t="s">
        <v>2081</v>
      </c>
      <c r="K16" s="156">
        <v>11.7</v>
      </c>
      <c r="L16" s="31">
        <v>4.3</v>
      </c>
      <c r="M16" s="31" t="s">
        <v>1925</v>
      </c>
      <c r="N16" s="31" t="s">
        <v>1768</v>
      </c>
      <c r="O16" s="31">
        <v>528</v>
      </c>
      <c r="P16" s="31">
        <v>312</v>
      </c>
      <c r="Q16" s="31" t="s">
        <v>24</v>
      </c>
      <c r="R16" s="31">
        <v>95.2</v>
      </c>
      <c r="S16" s="30" t="s">
        <v>2082</v>
      </c>
      <c r="T16" s="31" t="s">
        <v>1826</v>
      </c>
      <c r="U16" s="31" t="s">
        <v>1732</v>
      </c>
      <c r="V16" s="31" t="s">
        <v>2083</v>
      </c>
    </row>
    <row r="17" spans="1:37" ht="18.75" customHeight="1">
      <c r="A17" s="142" t="s">
        <v>1144</v>
      </c>
      <c r="B17" s="120" t="s">
        <v>2013</v>
      </c>
      <c r="C17" s="116" t="s">
        <v>2156</v>
      </c>
      <c r="D17" s="242" t="s">
        <v>2201</v>
      </c>
      <c r="E17" s="116"/>
      <c r="F17" s="116"/>
      <c r="G17" s="31">
        <v>2017</v>
      </c>
      <c r="H17" s="18" t="s">
        <v>1324</v>
      </c>
      <c r="I17" s="31">
        <v>10</v>
      </c>
      <c r="J17" s="414" t="s">
        <v>2202</v>
      </c>
      <c r="K17" s="420">
        <v>12.5</v>
      </c>
      <c r="L17" s="31">
        <v>2.8</v>
      </c>
      <c r="M17" s="180" t="s">
        <v>2281</v>
      </c>
      <c r="N17" s="31" t="s">
        <v>2155</v>
      </c>
      <c r="O17" s="159">
        <v>857.48</v>
      </c>
      <c r="P17" s="11">
        <v>293</v>
      </c>
      <c r="Q17" s="31" t="s">
        <v>24</v>
      </c>
      <c r="R17" s="31">
        <v>107</v>
      </c>
      <c r="S17" s="145">
        <v>11.12</v>
      </c>
      <c r="T17" s="31" t="s">
        <v>1759</v>
      </c>
      <c r="U17" s="31" t="s">
        <v>2205</v>
      </c>
      <c r="AC17" s="28"/>
      <c r="AD17" s="28"/>
      <c r="AI17" s="116"/>
    </row>
    <row r="18" spans="1:37" ht="19.5" customHeight="1">
      <c r="A18" s="142" t="s">
        <v>1144</v>
      </c>
      <c r="B18" s="120" t="s">
        <v>2013</v>
      </c>
      <c r="C18" s="31" t="s">
        <v>1827</v>
      </c>
      <c r="D18" s="135" t="s">
        <v>1827</v>
      </c>
      <c r="E18" s="31" t="s">
        <v>1950</v>
      </c>
      <c r="G18" s="31">
        <v>2000</v>
      </c>
      <c r="H18" s="31" t="s">
        <v>226</v>
      </c>
      <c r="I18" s="31">
        <v>42</v>
      </c>
      <c r="J18" s="31" t="s">
        <v>735</v>
      </c>
      <c r="K18" s="156">
        <v>14.7</v>
      </c>
      <c r="L18" s="31">
        <v>2.9</v>
      </c>
      <c r="M18" s="31" t="s">
        <v>1927</v>
      </c>
      <c r="N18" s="31" t="s">
        <v>1768</v>
      </c>
      <c r="O18" s="31">
        <v>894</v>
      </c>
      <c r="P18" s="31">
        <v>360</v>
      </c>
      <c r="Q18" s="31" t="s">
        <v>24</v>
      </c>
      <c r="R18" s="31">
        <v>100</v>
      </c>
      <c r="S18" s="30" t="s">
        <v>924</v>
      </c>
      <c r="T18" s="31" t="s">
        <v>938</v>
      </c>
      <c r="U18" s="31" t="s">
        <v>188</v>
      </c>
      <c r="V18" t="s">
        <v>1735</v>
      </c>
    </row>
    <row r="19" spans="1:37" s="163" customFormat="1" ht="18.75" customHeight="1">
      <c r="A19" s="31"/>
      <c r="B19" s="31"/>
      <c r="C19" s="31"/>
      <c r="D19" s="135"/>
      <c r="E19" s="31"/>
      <c r="F19" s="423"/>
      <c r="G19" s="31"/>
      <c r="H19" s="31"/>
      <c r="I19" s="31"/>
      <c r="J19" s="31"/>
      <c r="K19" s="156"/>
      <c r="L19" s="31"/>
      <c r="M19" s="180"/>
      <c r="N19" s="31"/>
      <c r="O19" s="31"/>
      <c r="P19" s="31"/>
      <c r="Q19" s="31"/>
      <c r="R19" s="31"/>
      <c r="S19" s="31"/>
      <c r="T19" s="31"/>
      <c r="U19" s="30"/>
      <c r="V19" s="31"/>
      <c r="W19" s="31"/>
      <c r="X19" s="244"/>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1974</v>
      </c>
      <c r="K20" s="421">
        <v>32.380000000000003</v>
      </c>
      <c r="L20" s="30" t="s">
        <v>1084</v>
      </c>
      <c r="M20" s="30" t="s">
        <v>24</v>
      </c>
      <c r="N20" s="30" t="s">
        <v>975</v>
      </c>
      <c r="O20" s="411">
        <v>908</v>
      </c>
      <c r="P20" s="411">
        <v>359</v>
      </c>
      <c r="Q20" s="30" t="s">
        <v>1085</v>
      </c>
      <c r="R20" s="30" t="s">
        <v>24</v>
      </c>
      <c r="S20" s="30" t="s">
        <v>924</v>
      </c>
      <c r="T20" s="30" t="s">
        <v>1059</v>
      </c>
      <c r="U20" s="244" t="s">
        <v>2330</v>
      </c>
      <c r="V20" s="244"/>
      <c r="W20" s="244"/>
      <c r="X20" s="244" t="s">
        <v>2331</v>
      </c>
      <c r="Y20" s="244"/>
    </row>
    <row r="21" spans="1:37" ht="16.5" customHeight="1">
      <c r="A21" s="31" t="s">
        <v>932</v>
      </c>
      <c r="C21" s="110" t="s">
        <v>955</v>
      </c>
      <c r="D21" s="144" t="s">
        <v>955</v>
      </c>
      <c r="E21" s="110"/>
      <c r="F21" s="109"/>
      <c r="G21" s="30">
        <v>2018</v>
      </c>
      <c r="H21" s="110" t="s">
        <v>1180</v>
      </c>
      <c r="I21" s="30">
        <v>46</v>
      </c>
      <c r="J21" s="30" t="s">
        <v>1975</v>
      </c>
      <c r="K21" s="421">
        <v>29.5</v>
      </c>
      <c r="L21" s="31" t="s">
        <v>24</v>
      </c>
      <c r="M21" s="30" t="s">
        <v>956</v>
      </c>
      <c r="N21" s="30" t="s">
        <v>711</v>
      </c>
      <c r="O21" s="411">
        <v>594.79999999999995</v>
      </c>
      <c r="P21" s="411">
        <v>278.5</v>
      </c>
      <c r="Q21" s="30" t="s">
        <v>1976</v>
      </c>
      <c r="R21" s="30" t="s">
        <v>24</v>
      </c>
      <c r="S21" s="30" t="s">
        <v>924</v>
      </c>
      <c r="T21" s="30" t="s">
        <v>957</v>
      </c>
      <c r="U21" s="30" t="s">
        <v>958</v>
      </c>
      <c r="V21" s="30"/>
      <c r="W21" s="30"/>
      <c r="X21" s="244" t="s">
        <v>2332</v>
      </c>
      <c r="Y21" s="244"/>
    </row>
    <row r="22" spans="1:37" ht="21.75" customHeight="1">
      <c r="A22" s="31" t="s">
        <v>932</v>
      </c>
      <c r="B22" s="120" t="s">
        <v>2013</v>
      </c>
      <c r="C22" s="110" t="s">
        <v>926</v>
      </c>
      <c r="D22" s="144" t="s">
        <v>926</v>
      </c>
      <c r="E22" s="109" t="s">
        <v>1977</v>
      </c>
      <c r="G22" s="30">
        <v>2021</v>
      </c>
      <c r="H22" s="110" t="s">
        <v>245</v>
      </c>
      <c r="I22" s="30">
        <v>9</v>
      </c>
      <c r="J22" s="416" t="s">
        <v>1978</v>
      </c>
      <c r="K22" s="421">
        <v>33</v>
      </c>
      <c r="L22" s="30" t="s">
        <v>1086</v>
      </c>
      <c r="M22" s="30" t="s">
        <v>1979</v>
      </c>
      <c r="N22" s="30" t="s">
        <v>1087</v>
      </c>
      <c r="O22" s="411">
        <v>1108</v>
      </c>
      <c r="P22" s="411">
        <v>293</v>
      </c>
      <c r="Q22" s="30" t="s">
        <v>1980</v>
      </c>
      <c r="R22" s="30">
        <v>96.9</v>
      </c>
      <c r="S22" s="30" t="s">
        <v>924</v>
      </c>
      <c r="T22" s="30" t="s">
        <v>927</v>
      </c>
      <c r="U22" s="30" t="s">
        <v>928</v>
      </c>
      <c r="V22" s="30"/>
      <c r="W22" s="30"/>
      <c r="X22" s="244" t="s">
        <v>2333</v>
      </c>
      <c r="Y22" s="244"/>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1992</v>
      </c>
      <c r="U23" s="31" t="s">
        <v>1993</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1994</v>
      </c>
    </row>
    <row r="25" spans="1:37" ht="21.75" customHeight="1">
      <c r="A25" s="31" t="s">
        <v>932</v>
      </c>
      <c r="C25" s="31" t="s">
        <v>933</v>
      </c>
      <c r="D25" s="135" t="s">
        <v>933</v>
      </c>
      <c r="E25" s="120" t="s">
        <v>1977</v>
      </c>
      <c r="G25" s="31">
        <v>2021</v>
      </c>
      <c r="H25" s="31" t="s">
        <v>253</v>
      </c>
      <c r="I25" s="31">
        <v>40</v>
      </c>
      <c r="J25" s="413"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3" t="s">
        <v>1104</v>
      </c>
      <c r="K26" s="156">
        <v>40</v>
      </c>
      <c r="L26" s="31">
        <v>5.5</v>
      </c>
      <c r="M26" s="31" t="s">
        <v>1103</v>
      </c>
      <c r="N26" s="31" t="s">
        <v>934</v>
      </c>
      <c r="O26" s="145">
        <v>598</v>
      </c>
      <c r="P26" s="145">
        <v>444</v>
      </c>
      <c r="Q26" s="31" t="s">
        <v>935</v>
      </c>
      <c r="R26" s="31" t="s">
        <v>1100</v>
      </c>
      <c r="S26" s="30" t="s">
        <v>1995</v>
      </c>
      <c r="T26" s="31" t="s">
        <v>24</v>
      </c>
    </row>
    <row r="27" spans="1:37" ht="18.75" customHeight="1">
      <c r="A27" s="31" t="s">
        <v>925</v>
      </c>
      <c r="B27" s="120" t="s">
        <v>2013</v>
      </c>
      <c r="C27" s="116" t="s">
        <v>2158</v>
      </c>
      <c r="D27" s="242" t="s">
        <v>2226</v>
      </c>
      <c r="E27" s="116"/>
      <c r="F27" s="116"/>
      <c r="G27" s="31">
        <v>2020</v>
      </c>
      <c r="H27" s="18" t="s">
        <v>221</v>
      </c>
      <c r="I27" s="31">
        <v>36</v>
      </c>
      <c r="J27" s="31" t="s">
        <v>2218</v>
      </c>
      <c r="K27" s="157">
        <v>27.4</v>
      </c>
      <c r="L27" s="11">
        <v>8.3000000000000007</v>
      </c>
      <c r="M27" s="11" t="s">
        <v>1853</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1996</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1997</v>
      </c>
      <c r="T28" s="31" t="s">
        <v>938</v>
      </c>
      <c r="AA28" s="163"/>
      <c r="AB28" s="163"/>
      <c r="AC28" s="163"/>
      <c r="AD28" s="163"/>
      <c r="AE28" s="163"/>
      <c r="AF28" s="163"/>
      <c r="AG28" s="163"/>
      <c r="AH28" s="163"/>
      <c r="AI28" s="163"/>
      <c r="AJ28" s="163"/>
      <c r="AK28" s="163"/>
    </row>
    <row r="29" spans="1:37" ht="18.75" customHeight="1">
      <c r="A29" s="31" t="s">
        <v>925</v>
      </c>
      <c r="B29" s="120" t="s">
        <v>2013</v>
      </c>
      <c r="C29" s="116" t="s">
        <v>2296</v>
      </c>
      <c r="D29" s="242"/>
      <c r="E29" s="116"/>
      <c r="F29" s="116"/>
      <c r="G29" s="31">
        <v>2007</v>
      </c>
      <c r="H29" s="18" t="s">
        <v>245</v>
      </c>
      <c r="I29" s="31">
        <v>12</v>
      </c>
      <c r="J29" s="31" t="s">
        <v>2222</v>
      </c>
      <c r="K29" s="420">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1749</v>
      </c>
      <c r="D30" s="135" t="s">
        <v>1749</v>
      </c>
      <c r="E30" s="31" t="s">
        <v>1970</v>
      </c>
      <c r="F30" s="31" t="s">
        <v>1971</v>
      </c>
      <c r="G30" s="31">
        <v>2015</v>
      </c>
      <c r="H30" s="31" t="s">
        <v>1972</v>
      </c>
      <c r="I30" s="31">
        <v>14</v>
      </c>
      <c r="J30" s="414" t="s">
        <v>1973</v>
      </c>
      <c r="K30" s="156">
        <v>24.97</v>
      </c>
      <c r="L30" s="31">
        <v>1.57</v>
      </c>
      <c r="M30" s="31" t="s">
        <v>1750</v>
      </c>
      <c r="N30" s="31" t="s">
        <v>1753</v>
      </c>
      <c r="O30" s="415">
        <v>727</v>
      </c>
      <c r="P30" s="31">
        <v>199</v>
      </c>
      <c r="Q30" s="31" t="s">
        <v>1754</v>
      </c>
      <c r="R30" s="415">
        <v>97.65</v>
      </c>
      <c r="S30" s="31" t="s">
        <v>1751</v>
      </c>
      <c r="T30" s="31" t="s">
        <v>1755</v>
      </c>
    </row>
    <row r="31" spans="1:37">
      <c r="A31" s="31" t="s">
        <v>925</v>
      </c>
      <c r="B31" s="120" t="s">
        <v>2013</v>
      </c>
      <c r="C31" s="31" t="s">
        <v>1965</v>
      </c>
      <c r="D31" s="135" t="s">
        <v>1965</v>
      </c>
      <c r="E31" s="31" t="s">
        <v>1950</v>
      </c>
      <c r="F31" s="31"/>
      <c r="G31" s="31">
        <v>1995</v>
      </c>
      <c r="H31" s="31" t="s">
        <v>226</v>
      </c>
      <c r="I31" s="31">
        <v>24</v>
      </c>
      <c r="J31" s="180" t="s">
        <v>1966</v>
      </c>
      <c r="K31" s="156">
        <v>20.8</v>
      </c>
      <c r="L31" s="31" t="s">
        <v>1149</v>
      </c>
      <c r="M31" s="31" t="s">
        <v>1107</v>
      </c>
      <c r="N31" s="31" t="s">
        <v>1967</v>
      </c>
      <c r="O31" s="31">
        <v>1273</v>
      </c>
      <c r="P31" s="31" t="s">
        <v>1149</v>
      </c>
      <c r="Q31" s="31" t="s">
        <v>1817</v>
      </c>
      <c r="R31" s="31">
        <v>98.5</v>
      </c>
      <c r="S31" s="31" t="s">
        <v>1968</v>
      </c>
      <c r="T31" s="31" t="s">
        <v>1816</v>
      </c>
      <c r="U31" s="31" t="s">
        <v>1969</v>
      </c>
    </row>
    <row r="32" spans="1:37" ht="18" customHeight="1">
      <c r="A32" s="31" t="s">
        <v>925</v>
      </c>
      <c r="B32" s="120" t="s">
        <v>2013</v>
      </c>
      <c r="C32" s="116" t="s">
        <v>2161</v>
      </c>
      <c r="D32" s="242"/>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1822</v>
      </c>
      <c r="AC32" s="28"/>
      <c r="AD32" s="28"/>
      <c r="AI32" s="116"/>
    </row>
    <row r="33" spans="1:37" ht="18.75" customHeight="1">
      <c r="A33" s="31" t="s">
        <v>932</v>
      </c>
      <c r="C33" s="110" t="s">
        <v>937</v>
      </c>
      <c r="D33" s="144" t="s">
        <v>937</v>
      </c>
      <c r="E33" s="110"/>
      <c r="F33" s="31"/>
      <c r="G33" s="30">
        <v>2020</v>
      </c>
      <c r="H33" s="17" t="s">
        <v>250</v>
      </c>
      <c r="I33" s="30">
        <v>19</v>
      </c>
      <c r="J33" s="416" t="s">
        <v>1983</v>
      </c>
      <c r="K33" s="421">
        <v>25.4</v>
      </c>
      <c r="L33" s="30">
        <v>4.0999999999999996</v>
      </c>
      <c r="M33" s="30" t="s">
        <v>1876</v>
      </c>
      <c r="N33" s="30" t="s">
        <v>965</v>
      </c>
      <c r="O33" s="411">
        <v>1042</v>
      </c>
      <c r="P33" s="411">
        <v>428</v>
      </c>
      <c r="Q33" s="30" t="s">
        <v>1877</v>
      </c>
      <c r="R33" s="30">
        <v>98.9</v>
      </c>
      <c r="S33" s="30" t="s">
        <v>1984</v>
      </c>
      <c r="T33" s="30" t="s">
        <v>938</v>
      </c>
      <c r="U33" s="30" t="s">
        <v>1985</v>
      </c>
      <c r="V33" s="30"/>
      <c r="W33" s="30"/>
      <c r="X33" s="244"/>
      <c r="Y33" s="244"/>
    </row>
    <row r="34" spans="1:37" ht="18.75" customHeight="1">
      <c r="A34" s="31" t="s">
        <v>932</v>
      </c>
      <c r="C34" s="110" t="s">
        <v>937</v>
      </c>
      <c r="D34" s="144" t="s">
        <v>937</v>
      </c>
      <c r="E34" s="110"/>
      <c r="F34" s="109"/>
      <c r="G34" s="30">
        <v>2017</v>
      </c>
      <c r="H34" s="110" t="s">
        <v>221</v>
      </c>
      <c r="I34" s="30">
        <v>37</v>
      </c>
      <c r="J34" s="30" t="s">
        <v>1986</v>
      </c>
      <c r="K34" s="421">
        <v>27.5</v>
      </c>
      <c r="L34" s="30">
        <v>7.3</v>
      </c>
      <c r="M34" s="30" t="s">
        <v>1987</v>
      </c>
      <c r="N34" s="30" t="s">
        <v>711</v>
      </c>
      <c r="O34" s="411">
        <v>822</v>
      </c>
      <c r="P34" s="411">
        <v>324</v>
      </c>
      <c r="Q34" s="30" t="s">
        <v>1475</v>
      </c>
      <c r="R34" s="30">
        <v>103.9</v>
      </c>
      <c r="S34" s="30" t="s">
        <v>924</v>
      </c>
      <c r="T34" s="30" t="s">
        <v>1826</v>
      </c>
      <c r="U34" s="30" t="s">
        <v>1089</v>
      </c>
      <c r="V34" s="30"/>
      <c r="W34" s="30"/>
      <c r="X34" s="30" t="s">
        <v>972</v>
      </c>
      <c r="Y34" s="30"/>
    </row>
    <row r="35" spans="1:37">
      <c r="A35" s="31" t="s">
        <v>925</v>
      </c>
      <c r="B35" s="120" t="s">
        <v>2013</v>
      </c>
      <c r="C35" s="116" t="s">
        <v>2152</v>
      </c>
      <c r="D35" s="242"/>
      <c r="E35" s="116"/>
      <c r="F35" s="116"/>
      <c r="G35" s="31">
        <v>2001</v>
      </c>
      <c r="H35" s="18" t="s">
        <v>226</v>
      </c>
      <c r="I35" s="31">
        <v>17</v>
      </c>
      <c r="J35" s="414" t="s">
        <v>2227</v>
      </c>
      <c r="K35" s="420">
        <v>25.8</v>
      </c>
      <c r="L35" s="120" t="s">
        <v>24</v>
      </c>
      <c r="M35" s="11" t="s">
        <v>2231</v>
      </c>
      <c r="N35" s="31" t="s">
        <v>2155</v>
      </c>
      <c r="O35" s="31">
        <f>1.17*1000</f>
        <v>1170</v>
      </c>
      <c r="P35" s="11">
        <f>0.32*1000</f>
        <v>320</v>
      </c>
      <c r="Q35" s="11" t="s">
        <v>2229</v>
      </c>
      <c r="R35" s="30">
        <v>104.1</v>
      </c>
      <c r="S35" s="31">
        <v>15.6</v>
      </c>
      <c r="T35" s="11" t="s">
        <v>2230</v>
      </c>
      <c r="U35" s="11" t="s">
        <v>1822</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1988</v>
      </c>
      <c r="K36" s="421">
        <v>25.8</v>
      </c>
      <c r="L36" s="30" t="s">
        <v>990</v>
      </c>
      <c r="M36" s="30" t="s">
        <v>24</v>
      </c>
      <c r="N36" s="30" t="s">
        <v>992</v>
      </c>
      <c r="O36" s="411">
        <v>926</v>
      </c>
      <c r="P36" s="411" t="s">
        <v>1989</v>
      </c>
      <c r="Q36" s="30" t="s">
        <v>24</v>
      </c>
      <c r="R36" s="30">
        <v>104</v>
      </c>
      <c r="S36" s="30" t="s">
        <v>924</v>
      </c>
      <c r="T36" s="30" t="s">
        <v>991</v>
      </c>
      <c r="U36" s="30" t="s">
        <v>1090</v>
      </c>
      <c r="V36" s="30"/>
      <c r="W36" s="30"/>
      <c r="X36" s="244" t="s">
        <v>2334</v>
      </c>
      <c r="Y36" s="244"/>
      <c r="Z36" s="31"/>
      <c r="AA36" s="31"/>
      <c r="AB36" s="31"/>
      <c r="AC36" s="31"/>
      <c r="AD36" s="31"/>
      <c r="AE36" s="31"/>
      <c r="AF36" s="31"/>
      <c r="AG36" s="31"/>
      <c r="AH36" s="31"/>
      <c r="AI36" s="31"/>
      <c r="AJ36" s="31"/>
      <c r="AK36" s="31"/>
    </row>
    <row r="37" spans="1:37" ht="16.5" customHeight="1">
      <c r="A37" s="31" t="s">
        <v>932</v>
      </c>
      <c r="C37" s="110" t="s">
        <v>946</v>
      </c>
      <c r="D37" s="144" t="s">
        <v>946</v>
      </c>
      <c r="E37" s="109" t="s">
        <v>1977</v>
      </c>
      <c r="G37" s="30">
        <v>2017</v>
      </c>
      <c r="H37" s="31" t="s">
        <v>253</v>
      </c>
      <c r="I37" s="30">
        <v>9</v>
      </c>
      <c r="J37" s="30" t="s">
        <v>1978</v>
      </c>
      <c r="K37" s="421">
        <v>29</v>
      </c>
      <c r="L37" s="30" t="s">
        <v>947</v>
      </c>
      <c r="M37" s="30" t="s">
        <v>1990</v>
      </c>
      <c r="N37" s="30" t="s">
        <v>711</v>
      </c>
      <c r="O37" s="411">
        <v>918</v>
      </c>
      <c r="P37" s="411">
        <v>373</v>
      </c>
      <c r="Q37" s="30" t="s">
        <v>1991</v>
      </c>
      <c r="R37" s="30">
        <v>103</v>
      </c>
      <c r="S37" s="30" t="s">
        <v>924</v>
      </c>
      <c r="T37" s="30" t="s">
        <v>948</v>
      </c>
      <c r="U37" s="30" t="s">
        <v>1091</v>
      </c>
      <c r="V37" s="30"/>
      <c r="W37" s="30"/>
      <c r="X37" s="244" t="s">
        <v>2335</v>
      </c>
      <c r="Y37" s="244"/>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1"/>
      <c r="L39" s="30"/>
      <c r="M39" s="30"/>
      <c r="N39" s="30"/>
      <c r="O39" s="30"/>
      <c r="P39" s="30"/>
      <c r="Q39" s="30"/>
      <c r="R39" s="30"/>
      <c r="T39" s="30"/>
      <c r="U39" s="30"/>
      <c r="V39" s="30"/>
      <c r="W39" s="30"/>
      <c r="X39" s="244"/>
      <c r="Y39" s="244"/>
    </row>
    <row r="41" spans="1:37" ht="18.75" customHeight="1">
      <c r="C41" s="110"/>
      <c r="D41" s="144"/>
      <c r="E41" s="110"/>
      <c r="F41" s="31"/>
      <c r="G41" s="30"/>
      <c r="I41" s="30"/>
      <c r="J41" s="37"/>
      <c r="K41" s="421"/>
      <c r="L41" s="30"/>
      <c r="M41" s="30"/>
      <c r="N41" s="30"/>
      <c r="O41" s="30"/>
      <c r="P41" s="30"/>
      <c r="R41" s="30"/>
      <c r="S41" s="31"/>
      <c r="X41" s="30"/>
      <c r="Y41" s="141"/>
      <c r="Z41" s="30"/>
      <c r="AA41" s="30"/>
      <c r="AB41" s="30"/>
    </row>
    <row r="42" spans="1:37" ht="15" customHeight="1">
      <c r="A42" s="11" t="s">
        <v>1757</v>
      </c>
      <c r="B42" s="120" t="s">
        <v>2013</v>
      </c>
      <c r="C42" s="11" t="s">
        <v>2088</v>
      </c>
      <c r="D42" s="108" t="s">
        <v>2088</v>
      </c>
      <c r="E42" s="11"/>
      <c r="F42" s="11"/>
      <c r="G42" s="11">
        <v>2011</v>
      </c>
      <c r="H42" s="11" t="s">
        <v>253</v>
      </c>
      <c r="I42" s="11">
        <v>55</v>
      </c>
      <c r="J42" s="31" t="s">
        <v>2215</v>
      </c>
      <c r="K42" s="157">
        <v>11.04</v>
      </c>
      <c r="L42" s="11">
        <v>4.59</v>
      </c>
      <c r="M42" s="177" t="s">
        <v>2089</v>
      </c>
      <c r="N42" s="11" t="s">
        <v>1768</v>
      </c>
      <c r="O42" s="11">
        <v>592</v>
      </c>
      <c r="P42" s="11">
        <v>355</v>
      </c>
      <c r="Q42" s="11" t="s">
        <v>2090</v>
      </c>
      <c r="R42" s="11" t="s">
        <v>1143</v>
      </c>
      <c r="S42" s="11" t="s">
        <v>2091</v>
      </c>
      <c r="T42" s="11" t="s">
        <v>1759</v>
      </c>
      <c r="U42" s="11" t="s">
        <v>2092</v>
      </c>
      <c r="V42" s="11" t="s">
        <v>2093</v>
      </c>
      <c r="W42" s="11"/>
      <c r="X42" s="11"/>
      <c r="Y42" s="11"/>
      <c r="Z42" s="11"/>
      <c r="AA42" s="11"/>
      <c r="AB42" s="11"/>
      <c r="AC42" s="11"/>
      <c r="AD42" s="11"/>
      <c r="AE42" s="11"/>
      <c r="AF42" s="11"/>
      <c r="AG42" s="11"/>
      <c r="AH42" s="11"/>
      <c r="AI42" s="11"/>
      <c r="AJ42" s="11"/>
      <c r="AK42" s="11"/>
    </row>
    <row r="43" spans="1:37" ht="18.75" customHeight="1">
      <c r="A43" s="31" t="s">
        <v>1757</v>
      </c>
      <c r="C43" s="31" t="s">
        <v>1999</v>
      </c>
      <c r="D43" s="135" t="s">
        <v>1999</v>
      </c>
      <c r="E43" s="31" t="s">
        <v>1950</v>
      </c>
      <c r="F43" s="31"/>
      <c r="G43" s="31">
        <v>1998</v>
      </c>
      <c r="H43" s="31" t="s">
        <v>253</v>
      </c>
      <c r="I43" s="31">
        <v>21</v>
      </c>
      <c r="J43" s="414" t="s">
        <v>2000</v>
      </c>
      <c r="K43" s="156">
        <v>11.3</v>
      </c>
      <c r="L43" s="31">
        <v>6.2</v>
      </c>
      <c r="M43" s="180" t="s">
        <v>1758</v>
      </c>
      <c r="N43" s="31" t="s">
        <v>2001</v>
      </c>
      <c r="O43" s="31">
        <v>780.65</v>
      </c>
      <c r="P43" s="31">
        <v>174.4</v>
      </c>
      <c r="Q43" s="31" t="s">
        <v>1149</v>
      </c>
      <c r="R43" s="31">
        <v>102</v>
      </c>
      <c r="S43" s="31" t="s">
        <v>905</v>
      </c>
      <c r="T43" s="31" t="s">
        <v>1759</v>
      </c>
      <c r="U43" s="31" t="s">
        <v>2269</v>
      </c>
    </row>
    <row r="44" spans="1:37" ht="15.75" customHeight="1">
      <c r="A44" s="31" t="s">
        <v>1757</v>
      </c>
      <c r="B44" s="120" t="s">
        <v>2013</v>
      </c>
      <c r="C44" s="31" t="s">
        <v>1185</v>
      </c>
      <c r="D44" s="135" t="s">
        <v>1185</v>
      </c>
      <c r="F44" s="31" t="s">
        <v>2016</v>
      </c>
      <c r="G44" s="31">
        <v>1996</v>
      </c>
      <c r="H44" s="31" t="s">
        <v>1186</v>
      </c>
      <c r="I44" s="31">
        <v>67</v>
      </c>
      <c r="J44" s="31" t="s">
        <v>938</v>
      </c>
      <c r="K44" s="156" t="s">
        <v>938</v>
      </c>
      <c r="L44" s="31" t="s">
        <v>24</v>
      </c>
      <c r="M44" s="31" t="s">
        <v>1187</v>
      </c>
      <c r="N44" s="31" t="s">
        <v>2017</v>
      </c>
      <c r="O44" s="145">
        <v>905</v>
      </c>
      <c r="P44" s="145">
        <v>300</v>
      </c>
      <c r="Q44" s="31" t="s">
        <v>24</v>
      </c>
      <c r="R44" s="31" t="s">
        <v>1189</v>
      </c>
      <c r="S44" s="30" t="s">
        <v>1188</v>
      </c>
      <c r="T44" s="31" t="s">
        <v>938</v>
      </c>
      <c r="U44" s="31" t="s">
        <v>188</v>
      </c>
      <c r="V44" s="31" t="s">
        <v>1366</v>
      </c>
    </row>
    <row r="45" spans="1:37" ht="18.75" customHeight="1">
      <c r="A45" s="31" t="s">
        <v>1757</v>
      </c>
      <c r="C45" s="110" t="s">
        <v>1145</v>
      </c>
      <c r="D45" s="144" t="s">
        <v>1145</v>
      </c>
      <c r="E45" s="110"/>
      <c r="F45" s="31"/>
      <c r="G45" s="30">
        <v>2001</v>
      </c>
      <c r="H45" s="31" t="s">
        <v>253</v>
      </c>
      <c r="I45" s="30">
        <v>18</v>
      </c>
      <c r="J45" s="37" t="s">
        <v>1147</v>
      </c>
      <c r="K45" s="421">
        <v>17.88</v>
      </c>
      <c r="L45" s="30">
        <v>2.74</v>
      </c>
      <c r="M45" s="30" t="s">
        <v>1141</v>
      </c>
      <c r="N45" s="30" t="s">
        <v>1143</v>
      </c>
      <c r="O45" s="30" t="s">
        <v>24</v>
      </c>
      <c r="P45" s="30" t="s">
        <v>24</v>
      </c>
      <c r="Q45" s="31" t="s">
        <v>24</v>
      </c>
      <c r="R45" s="30" t="s">
        <v>1146</v>
      </c>
      <c r="S45" s="31" t="s">
        <v>1148</v>
      </c>
      <c r="T45" s="31" t="s">
        <v>1998</v>
      </c>
      <c r="X45" s="30"/>
      <c r="Y45" s="141" t="s">
        <v>232</v>
      </c>
      <c r="Z45" s="30"/>
      <c r="AA45" s="30"/>
      <c r="AB45" s="30" t="s">
        <v>1142</v>
      </c>
      <c r="AD45" s="31" t="s">
        <v>1139</v>
      </c>
    </row>
    <row r="46" spans="1:37" ht="15.75" customHeight="1">
      <c r="A46" s="31" t="s">
        <v>1757</v>
      </c>
      <c r="C46" s="31" t="s">
        <v>1233</v>
      </c>
      <c r="D46" s="135" t="s">
        <v>1233</v>
      </c>
      <c r="E46" s="31"/>
      <c r="G46" s="31">
        <v>2007</v>
      </c>
      <c r="H46" s="110" t="s">
        <v>253</v>
      </c>
      <c r="I46" s="31">
        <v>15</v>
      </c>
      <c r="J46" s="37" t="s">
        <v>1335</v>
      </c>
      <c r="K46" s="421">
        <v>14.8</v>
      </c>
      <c r="L46" s="30">
        <f>(20-8)/4</f>
        <v>3</v>
      </c>
      <c r="M46" s="412" t="s">
        <v>1229</v>
      </c>
      <c r="N46" s="30" t="s">
        <v>711</v>
      </c>
      <c r="O46" s="411">
        <v>660</v>
      </c>
      <c r="P46" s="411">
        <f>(1730-222)/4</f>
        <v>377</v>
      </c>
      <c r="Q46" s="31" t="s">
        <v>1230</v>
      </c>
      <c r="R46" s="31">
        <v>102</v>
      </c>
      <c r="S46" s="30" t="s">
        <v>1196</v>
      </c>
      <c r="T46" s="31" t="s">
        <v>1958</v>
      </c>
    </row>
    <row r="47" spans="1:37" ht="15.75" customHeight="1">
      <c r="A47" s="31" t="s">
        <v>1757</v>
      </c>
      <c r="C47" s="426" t="s">
        <v>1781</v>
      </c>
      <c r="D47" s="445" t="s">
        <v>1781</v>
      </c>
      <c r="E47" s="31" t="s">
        <v>1961</v>
      </c>
      <c r="G47" s="31">
        <v>1987</v>
      </c>
      <c r="H47" s="31" t="s">
        <v>253</v>
      </c>
      <c r="I47" s="31">
        <v>22</v>
      </c>
      <c r="J47" s="31">
        <v>11</v>
      </c>
      <c r="K47" s="156">
        <v>16.399999999999999</v>
      </c>
      <c r="L47" s="31">
        <v>5.6</v>
      </c>
      <c r="M47" s="31" t="s">
        <v>24</v>
      </c>
      <c r="N47" s="31" t="s">
        <v>1768</v>
      </c>
      <c r="O47" s="31">
        <f>17.3*88.4</f>
        <v>1529.3200000000002</v>
      </c>
      <c r="P47" s="31" t="s">
        <v>24</v>
      </c>
      <c r="Q47" s="31" t="s">
        <v>1784</v>
      </c>
      <c r="R47" s="31">
        <v>97</v>
      </c>
      <c r="S47" s="31" t="s">
        <v>1782</v>
      </c>
      <c r="T47" s="31" t="s">
        <v>1783</v>
      </c>
      <c r="U47" s="31" t="s">
        <v>70</v>
      </c>
      <c r="V47" s="31" t="s">
        <v>1785</v>
      </c>
    </row>
    <row r="48" spans="1:37" ht="15.75" customHeight="1">
      <c r="A48" s="31" t="s">
        <v>1757</v>
      </c>
      <c r="C48" s="31" t="s">
        <v>2002</v>
      </c>
      <c r="D48" s="135" t="s">
        <v>2002</v>
      </c>
      <c r="E48" s="31" t="s">
        <v>1950</v>
      </c>
      <c r="F48" s="422" t="s">
        <v>1798</v>
      </c>
      <c r="G48" s="31">
        <v>2013</v>
      </c>
      <c r="H48" s="31" t="s">
        <v>253</v>
      </c>
      <c r="I48" s="31">
        <v>12</v>
      </c>
      <c r="J48" s="31" t="s">
        <v>2003</v>
      </c>
      <c r="K48" s="156">
        <v>23.6</v>
      </c>
      <c r="L48" s="31">
        <v>8.8000000000000007</v>
      </c>
      <c r="M48" s="180" t="s">
        <v>1799</v>
      </c>
      <c r="N48" s="430" t="s">
        <v>2004</v>
      </c>
      <c r="O48" s="31">
        <v>827</v>
      </c>
      <c r="P48" s="31">
        <v>399</v>
      </c>
      <c r="Q48" s="31" t="s">
        <v>1801</v>
      </c>
      <c r="R48" s="31">
        <v>99.7</v>
      </c>
      <c r="S48" s="31" t="s">
        <v>2005</v>
      </c>
      <c r="T48" s="31" t="s">
        <v>2006</v>
      </c>
      <c r="U48" s="31" t="s">
        <v>2007</v>
      </c>
      <c r="X48" s="244"/>
    </row>
    <row r="49" spans="1:35" ht="15.75" customHeight="1">
      <c r="B49" s="120"/>
      <c r="C49" s="116"/>
      <c r="D49" s="242"/>
      <c r="E49" s="116"/>
      <c r="F49" s="116"/>
      <c r="H49" s="18"/>
      <c r="J49" s="414"/>
      <c r="K49" s="418"/>
      <c r="L49" s="120"/>
      <c r="M49" s="180"/>
      <c r="O49" s="159"/>
      <c r="P49" s="11"/>
      <c r="S49" s="145"/>
      <c r="AC49" s="28"/>
      <c r="AD49" s="28"/>
      <c r="AI49" s="116"/>
    </row>
    <row r="50" spans="1:35" ht="18.75" customHeight="1">
      <c r="A50" s="676" t="s">
        <v>2348</v>
      </c>
      <c r="B50" s="676"/>
      <c r="C50" s="676"/>
      <c r="D50" s="676"/>
      <c r="E50" s="31"/>
      <c r="H50" s="31">
        <f>SUM(I5:I18)</f>
        <v>436</v>
      </c>
      <c r="I50" s="28">
        <f>AVERAGE(I5:I11)</f>
        <v>34</v>
      </c>
      <c r="J50" s="396"/>
      <c r="K50" s="388">
        <f>AVERAGE(K5:K18)</f>
        <v>12.145714285714286</v>
      </c>
      <c r="L50" s="388">
        <f>AVERAGE(L5:L18)</f>
        <v>2.3684615384615384</v>
      </c>
      <c r="M50" s="396"/>
      <c r="N50" s="396"/>
      <c r="O50" s="388">
        <f>AVERAGE(O5:O18)</f>
        <v>610.97177428571433</v>
      </c>
      <c r="P50" s="388">
        <f>AVERAGE(P5:P18)</f>
        <v>293.66297714285713</v>
      </c>
    </row>
    <row r="51" spans="1:35" ht="18.75" customHeight="1">
      <c r="A51" s="389" t="s">
        <v>10</v>
      </c>
      <c r="B51" s="404">
        <f>COUNTA(A5:A18)</f>
        <v>14</v>
      </c>
      <c r="C51" s="31"/>
      <c r="D51" s="135"/>
      <c r="E51" s="31"/>
      <c r="I51" s="161">
        <f>STDEV(I5:I11)</f>
        <v>18.484227510682363</v>
      </c>
      <c r="J51" s="396"/>
      <c r="K51" s="403">
        <f>STDEV(K5:K18)</f>
        <v>2.3932299201183072</v>
      </c>
      <c r="L51" s="403">
        <f>STDEV(L5:L18)</f>
        <v>1.1643155797423512</v>
      </c>
      <c r="M51" s="396"/>
      <c r="N51" s="396"/>
      <c r="O51" s="403">
        <f>STDEV(O5:O18)</f>
        <v>196.82256892184995</v>
      </c>
      <c r="P51" s="403">
        <f>STDEV(P5:P18)</f>
        <v>89.267667840461698</v>
      </c>
    </row>
    <row r="52" spans="1:35" ht="18.75" customHeight="1">
      <c r="A52" s="677" t="s">
        <v>2349</v>
      </c>
      <c r="B52" s="677"/>
      <c r="C52" s="677"/>
      <c r="D52" s="677"/>
      <c r="E52" s="31"/>
      <c r="H52" s="31">
        <f>SUM(I20:I38)</f>
        <v>671</v>
      </c>
      <c r="I52" s="28">
        <f>AVERAGE(I20:I32)</f>
        <v>39.692307692307693</v>
      </c>
      <c r="J52" s="181"/>
      <c r="K52" s="385">
        <f>AVERAGE(K20:K38)</f>
        <v>27.55263157894737</v>
      </c>
      <c r="L52" s="385">
        <f>AVERAGE(L20:L38)</f>
        <v>4.9436363636363634</v>
      </c>
      <c r="M52" s="181"/>
      <c r="N52" s="181"/>
      <c r="O52" s="385">
        <f>AVERAGE(O20:O38)</f>
        <v>915.50437499999998</v>
      </c>
      <c r="P52" s="385">
        <f>AVERAGE(P20:P38)</f>
        <v>319.12076923076921</v>
      </c>
    </row>
    <row r="53" spans="1:35" ht="18.75" customHeight="1">
      <c r="A53" s="386" t="s">
        <v>10</v>
      </c>
      <c r="B53" s="405">
        <f>COUNTA(A20:A38)</f>
        <v>19</v>
      </c>
      <c r="C53" s="31"/>
      <c r="D53" s="135"/>
      <c r="E53" s="31"/>
      <c r="I53" s="161">
        <f>STDEV(I20:I32)</f>
        <v>37.917420392621246</v>
      </c>
      <c r="J53" s="181"/>
      <c r="K53" s="419">
        <f>STDEV(K20:K38)</f>
        <v>4.6689492537939161</v>
      </c>
      <c r="L53" s="387">
        <f>STDEV(L20:L38)</f>
        <v>1.9524972354770329</v>
      </c>
      <c r="M53" s="181"/>
      <c r="N53" s="181"/>
      <c r="O53" s="419">
        <f>STDEV(O20:O38)</f>
        <v>259.37690930301312</v>
      </c>
      <c r="P53" s="387">
        <f>STDEV(P20:P38)</f>
        <v>75.208185111012554</v>
      </c>
    </row>
    <row r="54" spans="1:35" ht="1.5" customHeight="1">
      <c r="A54" s="386"/>
      <c r="B54" s="386"/>
      <c r="C54" s="31"/>
      <c r="D54" s="135"/>
      <c r="E54" s="31"/>
      <c r="I54" s="28">
        <f>SUM(I20:I32)</f>
        <v>516</v>
      </c>
      <c r="J54" s="181"/>
      <c r="K54" s="419"/>
      <c r="L54" s="387"/>
      <c r="M54" s="181"/>
      <c r="N54" s="181"/>
      <c r="O54" s="387"/>
      <c r="P54" s="387"/>
    </row>
    <row r="55" spans="1:35" ht="18.75" customHeight="1">
      <c r="A55" s="675" t="s">
        <v>2364</v>
      </c>
      <c r="B55" s="675"/>
      <c r="C55" s="675"/>
      <c r="D55" s="675"/>
      <c r="H55" s="31">
        <f>SUM(I5:I48)</f>
        <v>1317</v>
      </c>
      <c r="I55" s="28">
        <f>AVERAGE(I5:I43)</f>
        <v>33.799999999999997</v>
      </c>
      <c r="J55" s="142"/>
      <c r="K55" s="369">
        <f>AVERAGE(K5:K48)</f>
        <v>20.219487179487171</v>
      </c>
      <c r="L55" s="369">
        <f>AVERAGE(L5:L47)</f>
        <v>3.6999999999999993</v>
      </c>
      <c r="M55" s="142"/>
      <c r="N55" s="142"/>
      <c r="O55" s="369">
        <f>AVERAGE(O5:O48)</f>
        <v>791.54569000000004</v>
      </c>
      <c r="P55" s="369">
        <f>AVERAGE(P5:P47)</f>
        <v>305.36295741935481</v>
      </c>
    </row>
    <row r="56" spans="1:35" ht="18.75" customHeight="1">
      <c r="A56" s="390" t="s">
        <v>10</v>
      </c>
      <c r="B56" s="390">
        <f>COUNTA(A42:A48,A20:A38,A5:A18)</f>
        <v>40</v>
      </c>
      <c r="I56" s="161">
        <f>STDEV(I5:I43)</f>
        <v>26.236256906628054</v>
      </c>
      <c r="J56" s="142"/>
      <c r="K56" s="372">
        <f>STDEV(K5:K48)</f>
        <v>8.3127182040907037</v>
      </c>
      <c r="L56" s="372">
        <f>STDEV(L5:L48)</f>
        <v>2.1307162467437895</v>
      </c>
      <c r="M56" s="142"/>
      <c r="N56" s="142"/>
      <c r="O56" s="372">
        <f>STDEV(O5:O48)</f>
        <v>284.39333161972729</v>
      </c>
      <c r="P56" s="372">
        <f>STDEV(P5:P48)</f>
        <v>82.131932814654618</v>
      </c>
    </row>
    <row r="58" spans="1:35" ht="15.75" customHeight="1">
      <c r="A58" s="184"/>
      <c r="B58" s="184"/>
      <c r="C58" s="31"/>
      <c r="D58" s="135"/>
      <c r="E58" s="31"/>
    </row>
    <row r="59" spans="1:35" ht="18.75" customHeight="1">
      <c r="A59" s="120" t="s">
        <v>2013</v>
      </c>
      <c r="B59" s="120"/>
    </row>
    <row r="61" spans="1:35" ht="32">
      <c r="A61" s="143" t="s">
        <v>2018</v>
      </c>
      <c r="B61" s="143"/>
      <c r="C61" s="244" t="s">
        <v>2341</v>
      </c>
      <c r="D61" s="135"/>
      <c r="E61" s="31"/>
      <c r="F61" s="31"/>
      <c r="G61" s="135" t="s">
        <v>2343</v>
      </c>
      <c r="H61" s="135"/>
    </row>
    <row r="62" spans="1:35">
      <c r="C62" s="120" t="s">
        <v>2340</v>
      </c>
      <c r="G62" s="135" t="s">
        <v>2347</v>
      </c>
    </row>
    <row r="63" spans="1:35">
      <c r="C63" s="120" t="s">
        <v>2342</v>
      </c>
      <c r="G63" s="135" t="s">
        <v>2350</v>
      </c>
      <c r="H63" s="135"/>
    </row>
    <row r="64" spans="1:35">
      <c r="M64" s="31" t="s">
        <v>2019</v>
      </c>
    </row>
    <row r="65" spans="1:35">
      <c r="C65" s="120" t="s">
        <v>2280</v>
      </c>
    </row>
    <row r="66" spans="1:35" ht="18.75" customHeight="1"/>
    <row r="67" spans="1:35" s="135" customFormat="1" ht="15.75" customHeight="1">
      <c r="A67" s="31" t="s">
        <v>1144</v>
      </c>
      <c r="C67" s="116" t="s">
        <v>2162</v>
      </c>
      <c r="D67" s="242"/>
      <c r="E67" s="242"/>
      <c r="F67" s="242"/>
      <c r="G67" s="31" t="s">
        <v>2193</v>
      </c>
      <c r="H67" s="431">
        <v>2015</v>
      </c>
      <c r="I67" s="135">
        <v>8</v>
      </c>
      <c r="K67" s="432"/>
      <c r="L67" s="417"/>
      <c r="N67" s="135" t="s">
        <v>2163</v>
      </c>
      <c r="O67" s="433">
        <v>333.93</v>
      </c>
      <c r="P67" s="434">
        <v>135.03</v>
      </c>
      <c r="R67" s="122">
        <v>101.1</v>
      </c>
      <c r="S67" s="135" t="s">
        <v>2187</v>
      </c>
      <c r="AC67" s="435"/>
      <c r="AD67" s="435"/>
      <c r="AI67" s="242"/>
    </row>
    <row r="68" spans="1:35" s="135" customFormat="1">
      <c r="A68" s="31" t="s">
        <v>1144</v>
      </c>
      <c r="C68" s="31" t="s">
        <v>1832</v>
      </c>
      <c r="E68" s="135" t="s">
        <v>1950</v>
      </c>
      <c r="F68" s="135" t="s">
        <v>2104</v>
      </c>
      <c r="G68" s="31" t="s">
        <v>2208</v>
      </c>
      <c r="H68" s="135">
        <v>2017</v>
      </c>
      <c r="K68" s="417"/>
      <c r="S68" s="122"/>
    </row>
    <row r="69" spans="1:35" s="135" customFormat="1" ht="15.75" customHeight="1">
      <c r="A69" s="31" t="s">
        <v>1757</v>
      </c>
      <c r="C69" s="116" t="s">
        <v>2156</v>
      </c>
      <c r="D69" s="242"/>
      <c r="E69" s="242"/>
      <c r="F69" s="242"/>
      <c r="G69" s="31" t="s">
        <v>2197</v>
      </c>
      <c r="H69" s="431">
        <v>2011</v>
      </c>
      <c r="I69" s="135">
        <v>92</v>
      </c>
      <c r="J69" s="135" t="s">
        <v>2196</v>
      </c>
      <c r="K69" s="432">
        <v>11</v>
      </c>
      <c r="L69" s="417" t="s">
        <v>24</v>
      </c>
      <c r="N69" s="135" t="s">
        <v>2198</v>
      </c>
      <c r="O69" s="433">
        <v>348</v>
      </c>
      <c r="P69" s="135" t="s">
        <v>24</v>
      </c>
      <c r="Q69" s="433" t="s">
        <v>2212</v>
      </c>
      <c r="R69" s="135">
        <v>100</v>
      </c>
      <c r="S69" s="135">
        <v>11.1</v>
      </c>
      <c r="T69" s="135" t="s">
        <v>2213</v>
      </c>
      <c r="U69" s="122" t="s">
        <v>2214</v>
      </c>
      <c r="AC69" s="435"/>
      <c r="AD69" s="435"/>
      <c r="AI69" s="242"/>
    </row>
    <row r="70" spans="1:35" s="135" customFormat="1" ht="15.75" customHeight="1">
      <c r="A70" s="31" t="s">
        <v>1144</v>
      </c>
      <c r="C70" s="116" t="s">
        <v>2160</v>
      </c>
      <c r="D70" s="242"/>
      <c r="E70" s="242"/>
      <c r="F70" s="242"/>
      <c r="G70" s="37" t="s">
        <v>2206</v>
      </c>
      <c r="H70" s="431">
        <v>1997</v>
      </c>
      <c r="I70" s="135">
        <v>37</v>
      </c>
      <c r="J70" s="135" t="s">
        <v>2209</v>
      </c>
      <c r="K70" s="432" t="s">
        <v>24</v>
      </c>
      <c r="L70" s="417" t="s">
        <v>24</v>
      </c>
      <c r="N70" s="135" t="s">
        <v>2155</v>
      </c>
      <c r="O70" s="433">
        <v>441.9</v>
      </c>
      <c r="P70" s="434" t="s">
        <v>1591</v>
      </c>
      <c r="Q70" s="135" t="s">
        <v>1591</v>
      </c>
      <c r="R70" s="122">
        <v>90.4</v>
      </c>
      <c r="S70" s="135">
        <v>7.8</v>
      </c>
      <c r="T70" s="135" t="s">
        <v>2210</v>
      </c>
      <c r="U70" s="108" t="s">
        <v>2211</v>
      </c>
      <c r="AC70" s="435"/>
      <c r="AD70" s="435"/>
      <c r="AI70" s="242"/>
    </row>
    <row r="71" spans="1:35" s="135" customFormat="1" ht="15.75" customHeight="1">
      <c r="A71" s="31"/>
      <c r="C71" s="116"/>
      <c r="D71" s="242"/>
      <c r="E71" s="242"/>
      <c r="F71" s="242"/>
      <c r="G71" s="37"/>
      <c r="H71" s="431"/>
      <c r="K71" s="432"/>
      <c r="L71" s="417"/>
      <c r="O71" s="433"/>
      <c r="P71" s="434"/>
      <c r="R71" s="122"/>
      <c r="U71" s="108"/>
      <c r="AC71" s="435"/>
      <c r="AD71" s="435"/>
      <c r="AI71" s="242"/>
    </row>
    <row r="72" spans="1:35" s="135" customFormat="1" ht="15.75" customHeight="1">
      <c r="A72" s="31" t="s">
        <v>1144</v>
      </c>
      <c r="C72" s="116" t="s">
        <v>2159</v>
      </c>
      <c r="D72" s="427"/>
      <c r="E72" s="427" t="s">
        <v>2232</v>
      </c>
      <c r="F72" s="427" t="s">
        <v>2232</v>
      </c>
      <c r="G72" s="31" t="s">
        <v>2232</v>
      </c>
      <c r="H72" s="431">
        <v>2011</v>
      </c>
      <c r="I72" s="135">
        <v>55</v>
      </c>
      <c r="J72" s="135" t="s">
        <v>2215</v>
      </c>
      <c r="K72" s="417">
        <v>11.04</v>
      </c>
      <c r="L72" s="417">
        <v>4.59</v>
      </c>
      <c r="N72" s="135" t="s">
        <v>2157</v>
      </c>
      <c r="O72" s="108">
        <v>592</v>
      </c>
      <c r="P72" s="108">
        <v>355</v>
      </c>
      <c r="Q72" s="135" t="s">
        <v>2090</v>
      </c>
      <c r="R72" s="135">
        <v>99.2</v>
      </c>
      <c r="S72" s="135">
        <v>13.6</v>
      </c>
      <c r="T72" s="135" t="s">
        <v>1759</v>
      </c>
      <c r="U72" s="135" t="s">
        <v>2092</v>
      </c>
      <c r="AC72" s="435"/>
      <c r="AD72" s="435"/>
      <c r="AI72" s="242"/>
    </row>
    <row r="73" spans="1:35" s="135" customFormat="1" ht="15.75" customHeight="1">
      <c r="A73" s="31" t="s">
        <v>1757</v>
      </c>
      <c r="C73" s="116" t="s">
        <v>2154</v>
      </c>
      <c r="E73" s="242"/>
      <c r="F73" s="242"/>
      <c r="G73" s="31" t="s">
        <v>2237</v>
      </c>
      <c r="H73" s="431">
        <v>2021</v>
      </c>
      <c r="I73" s="135">
        <v>64</v>
      </c>
      <c r="J73" s="135" t="s">
        <v>2221</v>
      </c>
      <c r="K73" s="417">
        <v>10.8</v>
      </c>
      <c r="L73" s="417">
        <v>2.9</v>
      </c>
      <c r="N73" s="135" t="s">
        <v>2157</v>
      </c>
      <c r="O73" s="108">
        <v>413</v>
      </c>
      <c r="P73" s="108">
        <v>233</v>
      </c>
      <c r="Q73" s="135" t="s">
        <v>2102</v>
      </c>
      <c r="R73" s="135">
        <v>100.1</v>
      </c>
      <c r="S73" s="433">
        <v>11.8</v>
      </c>
      <c r="U73" s="135" t="s">
        <v>2103</v>
      </c>
      <c r="AC73" s="435"/>
      <c r="AD73" s="435"/>
      <c r="AI73" s="242"/>
    </row>
    <row r="74" spans="1:35" s="135" customFormat="1">
      <c r="A74" s="31"/>
      <c r="C74" s="120"/>
      <c r="D74" s="417"/>
      <c r="E74" s="417"/>
      <c r="F74" s="417"/>
      <c r="G74" s="31"/>
      <c r="K74" s="417"/>
      <c r="S74" s="122"/>
    </row>
    <row r="75" spans="1:35" s="135" customFormat="1" ht="18.75" customHeight="1">
      <c r="A75" s="31" t="s">
        <v>932</v>
      </c>
      <c r="C75" s="110" t="s">
        <v>962</v>
      </c>
      <c r="D75" s="144" t="s">
        <v>962</v>
      </c>
      <c r="E75" s="144"/>
      <c r="G75" s="30" t="s">
        <v>2300</v>
      </c>
      <c r="H75" s="144" t="s">
        <v>1175</v>
      </c>
      <c r="I75" s="122">
        <v>19</v>
      </c>
      <c r="J75" s="122" t="s">
        <v>1982</v>
      </c>
      <c r="K75" s="436">
        <v>41</v>
      </c>
      <c r="L75" s="122">
        <f>(45-30)/4</f>
        <v>3.75</v>
      </c>
      <c r="M75" s="122" t="s">
        <v>963</v>
      </c>
      <c r="N75" s="122" t="s">
        <v>965</v>
      </c>
      <c r="O75" s="437">
        <v>873</v>
      </c>
      <c r="P75" s="437">
        <f>(1115-644)/4</f>
        <v>117.75</v>
      </c>
      <c r="Q75" s="122" t="s">
        <v>1088</v>
      </c>
      <c r="R75" s="122" t="s">
        <v>24</v>
      </c>
      <c r="S75" s="122" t="s">
        <v>924</v>
      </c>
      <c r="T75" s="122" t="s">
        <v>964</v>
      </c>
      <c r="U75" s="122" t="s">
        <v>2336</v>
      </c>
      <c r="V75" s="122"/>
      <c r="W75" s="122"/>
      <c r="X75" s="436" t="s">
        <v>2337</v>
      </c>
      <c r="Y75" s="436"/>
    </row>
    <row r="76" spans="1:35" s="135" customFormat="1" ht="18.75" customHeight="1">
      <c r="A76" s="31" t="s">
        <v>932</v>
      </c>
      <c r="C76" s="110" t="s">
        <v>951</v>
      </c>
      <c r="D76" s="144" t="s">
        <v>951</v>
      </c>
      <c r="E76" s="144"/>
      <c r="F76" s="440"/>
      <c r="G76" s="30" t="s">
        <v>2300</v>
      </c>
      <c r="H76" s="144" t="s">
        <v>242</v>
      </c>
      <c r="I76" s="122">
        <v>57</v>
      </c>
      <c r="J76" s="122" t="s">
        <v>1981</v>
      </c>
      <c r="K76" s="436">
        <v>27.7</v>
      </c>
      <c r="L76" s="122" t="s">
        <v>952</v>
      </c>
      <c r="M76" s="122" t="s">
        <v>953</v>
      </c>
      <c r="N76" s="122" t="s">
        <v>711</v>
      </c>
      <c r="O76" s="437">
        <v>655</v>
      </c>
      <c r="P76" s="437">
        <v>342</v>
      </c>
      <c r="Q76" s="122" t="s">
        <v>1855</v>
      </c>
      <c r="R76" s="122">
        <v>100</v>
      </c>
      <c r="S76" s="122" t="s">
        <v>924</v>
      </c>
      <c r="T76" s="122" t="s">
        <v>938</v>
      </c>
      <c r="U76" s="122" t="s">
        <v>2338</v>
      </c>
      <c r="V76" s="122"/>
      <c r="W76" s="122"/>
      <c r="X76" s="436" t="s">
        <v>2339</v>
      </c>
      <c r="Y76" s="436"/>
    </row>
    <row r="77" spans="1:35" s="135" customFormat="1" ht="18.75" customHeight="1">
      <c r="A77" s="31" t="s">
        <v>1144</v>
      </c>
      <c r="C77" s="31" t="s">
        <v>1115</v>
      </c>
      <c r="D77" s="135" t="s">
        <v>1115</v>
      </c>
      <c r="F77" s="135" t="s">
        <v>1116</v>
      </c>
      <c r="G77" s="31" t="s">
        <v>2302</v>
      </c>
      <c r="H77" s="135" t="s">
        <v>253</v>
      </c>
      <c r="I77" s="135">
        <v>23</v>
      </c>
      <c r="J77" s="438" t="s">
        <v>654</v>
      </c>
      <c r="K77" s="439">
        <v>12.1</v>
      </c>
      <c r="L77" s="438">
        <v>3.3</v>
      </c>
      <c r="M77" s="438" t="s">
        <v>2284</v>
      </c>
      <c r="N77" s="135" t="s">
        <v>1963</v>
      </c>
      <c r="O77" s="135">
        <v>544.1</v>
      </c>
      <c r="P77" s="135">
        <v>298</v>
      </c>
      <c r="Q77" s="428" t="s">
        <v>1964</v>
      </c>
      <c r="R77" s="135" t="s">
        <v>1117</v>
      </c>
      <c r="S77" s="122" t="s">
        <v>905</v>
      </c>
      <c r="T77" s="135" t="s">
        <v>1759</v>
      </c>
    </row>
    <row r="78" spans="1:35" s="135" customFormat="1">
      <c r="A78" s="31"/>
      <c r="C78" s="120"/>
      <c r="D78" s="417"/>
      <c r="E78" s="417"/>
      <c r="F78" s="417"/>
      <c r="G78" s="31"/>
      <c r="K78" s="417"/>
      <c r="S78" s="122"/>
    </row>
    <row r="79" spans="1:35" s="135" customFormat="1" ht="12" customHeight="1">
      <c r="A79" s="31" t="s">
        <v>1144</v>
      </c>
      <c r="C79" s="30" t="s">
        <v>1949</v>
      </c>
      <c r="D79" s="135">
        <v>2014</v>
      </c>
      <c r="E79" s="135" t="s">
        <v>1950</v>
      </c>
      <c r="F79" s="417" t="s">
        <v>2118</v>
      </c>
      <c r="G79" s="31" t="s">
        <v>2346</v>
      </c>
      <c r="H79" s="122" t="s">
        <v>253</v>
      </c>
      <c r="I79" s="135">
        <v>47</v>
      </c>
      <c r="J79" s="135" t="s">
        <v>1173</v>
      </c>
      <c r="K79" s="441"/>
      <c r="M79" s="442" t="s">
        <v>2344</v>
      </c>
      <c r="N79" s="135" t="s">
        <v>1951</v>
      </c>
      <c r="O79" s="135">
        <v>395</v>
      </c>
      <c r="P79" s="135">
        <v>189.6</v>
      </c>
      <c r="Q79" s="135" t="s">
        <v>1952</v>
      </c>
      <c r="R79" s="135" t="s">
        <v>1953</v>
      </c>
      <c r="S79" s="135" t="s">
        <v>905</v>
      </c>
      <c r="T79" s="135" t="s">
        <v>1954</v>
      </c>
      <c r="U79" s="135" t="s">
        <v>1955</v>
      </c>
      <c r="X79" s="135" t="s">
        <v>1956</v>
      </c>
    </row>
    <row r="80" spans="1:35" s="135" customFormat="1" ht="11.25" customHeight="1">
      <c r="A80" s="31" t="s">
        <v>1144</v>
      </c>
      <c r="C80" s="30" t="s">
        <v>1949</v>
      </c>
      <c r="D80" s="135">
        <v>2014</v>
      </c>
      <c r="E80" s="135" t="s">
        <v>1950</v>
      </c>
      <c r="F80" s="417" t="s">
        <v>2118</v>
      </c>
      <c r="G80" s="31" t="s">
        <v>2345</v>
      </c>
      <c r="H80" s="122" t="s">
        <v>253</v>
      </c>
      <c r="I80" s="135">
        <v>29</v>
      </c>
      <c r="J80" s="428" t="s">
        <v>1173</v>
      </c>
      <c r="K80" s="443">
        <f>10+((18-10)/2)</f>
        <v>14</v>
      </c>
      <c r="L80" s="135">
        <v>3.6</v>
      </c>
      <c r="M80" s="444" t="s">
        <v>763</v>
      </c>
      <c r="N80" s="135" t="s">
        <v>1174</v>
      </c>
      <c r="O80" s="433">
        <v>550.5</v>
      </c>
      <c r="P80" s="433">
        <v>260</v>
      </c>
      <c r="Q80" s="135" t="s">
        <v>1960</v>
      </c>
      <c r="R80" s="135" t="s">
        <v>24</v>
      </c>
      <c r="S80" s="122" t="s">
        <v>1112</v>
      </c>
      <c r="T80" s="135" t="s">
        <v>1826</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6"/>
      <c r="B2" s="447"/>
      <c r="C2" s="447"/>
      <c r="D2" s="446"/>
      <c r="E2" s="640" t="s">
        <v>208</v>
      </c>
      <c r="F2" s="640"/>
      <c r="G2" s="446"/>
      <c r="H2" s="682" t="s">
        <v>2365</v>
      </c>
      <c r="I2" s="682"/>
    </row>
    <row r="3" spans="1:15" ht="30" customHeight="1">
      <c r="A3" s="175" t="s">
        <v>2313</v>
      </c>
      <c r="B3" s="640" t="s">
        <v>2351</v>
      </c>
      <c r="C3" s="640"/>
      <c r="D3" s="112"/>
      <c r="E3" s="112" t="s">
        <v>18</v>
      </c>
      <c r="F3" s="342" t="s">
        <v>10</v>
      </c>
      <c r="G3" s="112"/>
      <c r="H3" s="112" t="s">
        <v>18</v>
      </c>
      <c r="I3" s="342" t="s">
        <v>10</v>
      </c>
    </row>
    <row r="4" spans="1:15" ht="32">
      <c r="A4" s="687" t="s">
        <v>2361</v>
      </c>
      <c r="B4" s="110" t="s">
        <v>2325</v>
      </c>
      <c r="C4" s="353">
        <v>671</v>
      </c>
      <c r="D4" s="116"/>
      <c r="E4" s="352">
        <v>27.9</v>
      </c>
      <c r="F4" s="174">
        <v>4.7</v>
      </c>
      <c r="G4" s="110"/>
      <c r="H4" s="353">
        <v>915.5</v>
      </c>
      <c r="I4" s="373">
        <v>259.39999999999998</v>
      </c>
    </row>
    <row r="5" spans="1:15" ht="16">
      <c r="A5" s="688"/>
      <c r="B5" s="110" t="s">
        <v>2326</v>
      </c>
      <c r="C5" s="139" t="s">
        <v>2353</v>
      </c>
      <c r="D5" s="139"/>
      <c r="E5" s="31"/>
      <c r="F5" s="160" t="s">
        <v>2355</v>
      </c>
      <c r="G5" s="11"/>
      <c r="H5" s="343"/>
      <c r="I5" s="344" t="s">
        <v>2358</v>
      </c>
    </row>
    <row r="6" spans="1:15">
      <c r="A6" s="31"/>
      <c r="B6" s="110"/>
      <c r="C6" s="170"/>
      <c r="D6" s="111"/>
      <c r="E6" s="110"/>
      <c r="F6" s="345"/>
      <c r="G6" s="110"/>
      <c r="H6" s="164"/>
      <c r="I6" s="346"/>
    </row>
    <row r="7" spans="1:15" ht="32">
      <c r="A7" s="683" t="s">
        <v>2363</v>
      </c>
      <c r="B7" s="110" t="s">
        <v>2325</v>
      </c>
      <c r="C7" s="375">
        <v>436</v>
      </c>
      <c r="D7" s="116"/>
      <c r="E7" s="170">
        <v>12.1</v>
      </c>
      <c r="F7" s="174">
        <v>2.4</v>
      </c>
      <c r="G7" s="110"/>
      <c r="H7" s="376">
        <v>611</v>
      </c>
      <c r="I7" s="374">
        <v>196.8</v>
      </c>
      <c r="O7">
        <f>25*40</f>
        <v>1000</v>
      </c>
    </row>
    <row r="8" spans="1:15" ht="16">
      <c r="A8" s="684"/>
      <c r="B8" s="110" t="s">
        <v>2326</v>
      </c>
      <c r="C8" s="139" t="s">
        <v>2352</v>
      </c>
      <c r="D8" s="116"/>
      <c r="E8" s="31"/>
      <c r="F8" s="171" t="s">
        <v>2356</v>
      </c>
      <c r="G8" s="151"/>
      <c r="H8" s="31"/>
      <c r="I8" s="171" t="s">
        <v>2359</v>
      </c>
    </row>
    <row r="9" spans="1:15">
      <c r="A9" s="31"/>
      <c r="B9" s="110"/>
      <c r="C9" s="111"/>
      <c r="D9" s="111"/>
      <c r="E9" s="110"/>
      <c r="F9" s="347"/>
      <c r="G9" s="110"/>
      <c r="H9" s="164"/>
      <c r="I9" s="346"/>
    </row>
    <row r="10" spans="1:15" ht="32">
      <c r="A10" s="685" t="s">
        <v>2362</v>
      </c>
      <c r="B10" s="110" t="s">
        <v>2325</v>
      </c>
      <c r="C10" s="348">
        <v>1317</v>
      </c>
      <c r="D10" s="116"/>
      <c r="E10" s="349">
        <v>20</v>
      </c>
      <c r="F10" s="174">
        <v>8.3000000000000007</v>
      </c>
      <c r="G10" s="110"/>
      <c r="H10" s="350">
        <v>792</v>
      </c>
      <c r="I10" s="351">
        <v>284.39999999999998</v>
      </c>
    </row>
    <row r="11" spans="1:15" ht="16">
      <c r="A11" s="686"/>
      <c r="B11" s="172" t="s">
        <v>2326</v>
      </c>
      <c r="C11" s="179" t="s">
        <v>2354</v>
      </c>
      <c r="D11" s="173"/>
      <c r="E11" s="176"/>
      <c r="F11" s="391" t="s">
        <v>2357</v>
      </c>
      <c r="G11" s="173"/>
      <c r="H11" s="176"/>
      <c r="I11" s="391" t="s">
        <v>2360</v>
      </c>
    </row>
  </sheetData>
  <mergeCells count="6">
    <mergeCell ref="E2:F2"/>
    <mergeCell ref="H2:I2"/>
    <mergeCell ref="B3:C3"/>
    <mergeCell ref="A7:A8"/>
    <mergeCell ref="A10:A11"/>
    <mergeCell ref="A4:A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2" customWidth="1"/>
    <col min="2" max="2" width="12.5" style="252" customWidth="1"/>
    <col min="3" max="3" width="9.6640625" style="252" customWidth="1"/>
    <col min="4" max="4" width="3.1640625" style="252" customWidth="1"/>
    <col min="5" max="5" width="15.1640625" style="267" customWidth="1"/>
    <col min="6" max="7" width="11.83203125" style="252" customWidth="1"/>
    <col min="8" max="8" width="7.1640625" style="252" customWidth="1"/>
    <col min="9" max="9" width="11.83203125" style="252" customWidth="1"/>
    <col min="10" max="10" width="2.33203125" style="252" customWidth="1"/>
    <col min="11" max="11" width="11.83203125" style="252" customWidth="1"/>
    <col min="12" max="12" width="22.83203125" style="323" customWidth="1"/>
    <col min="13" max="13" width="6.5" style="252" customWidth="1"/>
    <col min="14" max="15" width="11.83203125" style="252" customWidth="1"/>
    <col min="16" max="16" width="18.6640625" style="319" customWidth="1"/>
    <col min="17" max="17" width="2.5" style="252" customWidth="1"/>
    <col min="18" max="18" width="12.6640625" style="252" customWidth="1"/>
    <col min="19" max="19" width="11.83203125" style="32" customWidth="1"/>
    <col min="20" max="20" width="4.83203125" style="252" customWidth="1"/>
    <col min="21" max="21" width="7.83203125" style="252" customWidth="1"/>
    <col min="22" max="22" width="10.5" style="260" customWidth="1"/>
    <col min="23" max="23" width="11.83203125" style="252" customWidth="1"/>
    <col min="24" max="24" width="6.5" style="252" customWidth="1"/>
    <col min="25" max="25" width="11.83203125" style="262" customWidth="1"/>
    <col min="26" max="27" width="11.83203125" style="399" customWidth="1"/>
    <col min="28" max="28" width="11.83203125" style="336" customWidth="1"/>
    <col min="29" max="29" width="9.1640625" style="263" customWidth="1"/>
    <col min="30" max="30" width="19.83203125" style="323" customWidth="1"/>
    <col min="31" max="31" width="6.83203125" style="252" customWidth="1"/>
    <col min="32" max="33" width="9.5" style="252" customWidth="1"/>
    <col min="34" max="34" width="17.5" style="252" customWidth="1"/>
    <col min="35" max="35" width="18.5" style="252" customWidth="1"/>
    <col min="36" max="16384" width="12.5" style="252"/>
  </cols>
  <sheetData>
    <row r="1" spans="1:35" ht="40.5" customHeight="1">
      <c r="A1" s="689" t="s">
        <v>909</v>
      </c>
      <c r="B1" s="689"/>
      <c r="C1" s="689"/>
      <c r="D1" s="245"/>
      <c r="E1" s="246" t="s">
        <v>910</v>
      </c>
      <c r="F1" s="690" t="s">
        <v>911</v>
      </c>
      <c r="G1" s="690"/>
      <c r="H1" s="247"/>
      <c r="I1" s="247" t="s">
        <v>912</v>
      </c>
      <c r="J1" s="247"/>
      <c r="K1" s="248" t="s">
        <v>913</v>
      </c>
      <c r="L1" s="377" t="s">
        <v>914</v>
      </c>
      <c r="M1" s="693" t="s">
        <v>915</v>
      </c>
      <c r="N1" s="694"/>
      <c r="O1" s="247"/>
      <c r="P1" s="392" t="s">
        <v>916</v>
      </c>
      <c r="Q1" s="249"/>
      <c r="R1" s="250" t="s">
        <v>1134</v>
      </c>
      <c r="S1" s="250"/>
      <c r="T1" s="251" t="s">
        <v>1135</v>
      </c>
      <c r="U1" s="252" t="s">
        <v>1369</v>
      </c>
      <c r="V1" s="253" t="s">
        <v>917</v>
      </c>
      <c r="W1" s="251" t="s">
        <v>918</v>
      </c>
      <c r="X1" s="251" t="s">
        <v>1412</v>
      </c>
      <c r="Y1" s="254" t="s">
        <v>919</v>
      </c>
      <c r="Z1" s="398" t="s">
        <v>2328</v>
      </c>
      <c r="AA1" s="398" t="s">
        <v>2329</v>
      </c>
      <c r="AB1" s="335" t="s">
        <v>2307</v>
      </c>
      <c r="AC1" s="255" t="s">
        <v>1346</v>
      </c>
      <c r="AD1" s="325"/>
      <c r="AE1" s="251" t="s">
        <v>18</v>
      </c>
      <c r="AF1" s="251"/>
      <c r="AG1" s="251"/>
      <c r="AH1" s="691" t="s">
        <v>920</v>
      </c>
      <c r="AI1" s="691"/>
    </row>
    <row r="2" spans="1:35" ht="19" customHeight="1">
      <c r="A2" s="252" t="s">
        <v>921</v>
      </c>
      <c r="B2" s="245"/>
      <c r="C2" s="245" t="s">
        <v>923</v>
      </c>
      <c r="D2" s="245" t="s">
        <v>1082</v>
      </c>
      <c r="E2" s="382"/>
      <c r="F2" s="248" t="s">
        <v>452</v>
      </c>
      <c r="G2" s="248" t="s">
        <v>10</v>
      </c>
      <c r="H2" s="245" t="s">
        <v>423</v>
      </c>
      <c r="I2" s="32"/>
      <c r="J2" s="32"/>
      <c r="K2" s="32"/>
      <c r="L2" s="326"/>
      <c r="M2" s="248" t="s">
        <v>452</v>
      </c>
      <c r="N2" s="248" t="s">
        <v>10</v>
      </c>
      <c r="O2" s="245" t="s">
        <v>423</v>
      </c>
      <c r="P2" s="393"/>
      <c r="Q2" s="32"/>
      <c r="R2" s="32"/>
      <c r="T2" s="32"/>
      <c r="U2" s="32"/>
      <c r="V2" s="256"/>
      <c r="W2" s="32"/>
      <c r="X2" s="32">
        <v>0</v>
      </c>
      <c r="Y2" s="257"/>
      <c r="Z2" s="397"/>
      <c r="AA2" s="397"/>
      <c r="AB2" s="324"/>
      <c r="AC2" s="258"/>
      <c r="AD2" s="326"/>
      <c r="AE2" s="32"/>
      <c r="AF2" s="32"/>
      <c r="AG2" s="32"/>
      <c r="AH2" s="692"/>
      <c r="AI2" s="692"/>
    </row>
    <row r="3" spans="1:35" ht="19" customHeight="1">
      <c r="A3" s="252" t="s">
        <v>925</v>
      </c>
      <c r="B3" s="259" t="s">
        <v>1610</v>
      </c>
      <c r="C3" s="259">
        <v>2022</v>
      </c>
      <c r="D3" s="259"/>
      <c r="E3" s="382">
        <v>151</v>
      </c>
      <c r="F3" s="259">
        <v>32.380000000000003</v>
      </c>
      <c r="G3" s="259">
        <v>9.0399999999999991</v>
      </c>
      <c r="H3" s="259" t="s">
        <v>24</v>
      </c>
      <c r="I3" s="259" t="s">
        <v>924</v>
      </c>
      <c r="J3" s="32"/>
      <c r="K3" s="259" t="s">
        <v>985</v>
      </c>
      <c r="L3" s="328" t="s">
        <v>711</v>
      </c>
      <c r="M3" s="259">
        <v>1058.68</v>
      </c>
      <c r="N3" s="259">
        <v>359</v>
      </c>
      <c r="O3" s="259" t="s">
        <v>1382</v>
      </c>
      <c r="P3" s="319" t="s">
        <v>977</v>
      </c>
      <c r="R3" s="259" t="s">
        <v>1158</v>
      </c>
      <c r="S3" s="259"/>
      <c r="U3" s="259" t="s">
        <v>986</v>
      </c>
      <c r="V3" s="264">
        <v>-0.26</v>
      </c>
      <c r="W3" s="261">
        <v>-1</v>
      </c>
      <c r="X3" s="261">
        <v>1</v>
      </c>
      <c r="Y3" s="257">
        <f t="shared" ref="Y3:Y14" si="0">V3*W3</f>
        <v>0.26</v>
      </c>
      <c r="Z3" s="397"/>
      <c r="AA3" s="397"/>
      <c r="AB3" s="324"/>
      <c r="AC3" s="265">
        <v>-1.0499999999999999E-3</v>
      </c>
      <c r="AD3" s="327">
        <v>4.7699999999999999E-4</v>
      </c>
      <c r="AE3" s="266">
        <v>-0.61</v>
      </c>
      <c r="AF3" s="266">
        <v>1.29</v>
      </c>
      <c r="AG3" s="265"/>
      <c r="AH3" s="245"/>
      <c r="AI3" s="245"/>
    </row>
    <row r="4" spans="1:35" ht="19" customHeight="1">
      <c r="A4" s="252" t="s">
        <v>925</v>
      </c>
      <c r="B4" s="259" t="s">
        <v>1609</v>
      </c>
      <c r="C4" s="259">
        <v>2017</v>
      </c>
      <c r="D4" s="259"/>
      <c r="E4" s="382">
        <v>37</v>
      </c>
      <c r="F4" s="259">
        <v>27.5</v>
      </c>
      <c r="G4" s="259">
        <v>7.3</v>
      </c>
      <c r="H4" s="110" t="s">
        <v>1987</v>
      </c>
      <c r="I4" s="259" t="s">
        <v>924</v>
      </c>
      <c r="J4" s="32"/>
      <c r="K4" s="259" t="s">
        <v>938</v>
      </c>
      <c r="L4" s="328" t="s">
        <v>711</v>
      </c>
      <c r="M4" s="259">
        <v>822</v>
      </c>
      <c r="N4" s="259">
        <v>324</v>
      </c>
      <c r="O4" s="110" t="s">
        <v>1987</v>
      </c>
      <c r="P4" s="319" t="s">
        <v>977</v>
      </c>
      <c r="R4" s="259" t="s">
        <v>1158</v>
      </c>
      <c r="S4" s="259"/>
      <c r="T4" s="259" t="s">
        <v>1445</v>
      </c>
      <c r="U4" s="259"/>
      <c r="V4" s="264">
        <v>0.47</v>
      </c>
      <c r="W4" s="259">
        <v>1</v>
      </c>
      <c r="X4" s="261">
        <v>1</v>
      </c>
      <c r="Y4" s="257">
        <f t="shared" si="0"/>
        <v>0.47</v>
      </c>
      <c r="Z4" s="397"/>
      <c r="AA4" s="397"/>
      <c r="AB4" s="324"/>
      <c r="AC4" s="266"/>
      <c r="AD4" s="328"/>
      <c r="AE4" s="259"/>
      <c r="AF4" s="259"/>
      <c r="AG4" s="259"/>
      <c r="AH4" s="259"/>
      <c r="AI4" s="259"/>
    </row>
    <row r="5" spans="1:35" ht="19" customHeight="1">
      <c r="A5" s="252" t="s">
        <v>925</v>
      </c>
      <c r="B5" s="259" t="s">
        <v>1609</v>
      </c>
      <c r="C5" s="259">
        <v>2020</v>
      </c>
      <c r="D5" s="259"/>
      <c r="E5" s="382">
        <v>19</v>
      </c>
      <c r="F5" s="259">
        <v>23.5</v>
      </c>
      <c r="G5" s="259">
        <v>6.1</v>
      </c>
      <c r="H5" s="259" t="s">
        <v>1876</v>
      </c>
      <c r="I5" s="259" t="s">
        <v>924</v>
      </c>
      <c r="J5" s="32"/>
      <c r="K5" s="259" t="s">
        <v>938</v>
      </c>
      <c r="L5" s="328" t="s">
        <v>711</v>
      </c>
      <c r="M5" s="164">
        <v>1042</v>
      </c>
      <c r="N5" s="164">
        <v>428</v>
      </c>
      <c r="O5" s="110" t="s">
        <v>1877</v>
      </c>
      <c r="P5" s="319" t="s">
        <v>977</v>
      </c>
      <c r="Q5" s="259"/>
      <c r="R5" s="259" t="s">
        <v>1158</v>
      </c>
      <c r="S5" s="259"/>
      <c r="T5" s="259"/>
      <c r="U5" s="259"/>
      <c r="V5" s="264">
        <v>0.61</v>
      </c>
      <c r="W5" s="252">
        <v>1</v>
      </c>
      <c r="X5" s="261">
        <v>1</v>
      </c>
      <c r="Y5" s="257">
        <f t="shared" si="0"/>
        <v>0.61</v>
      </c>
      <c r="Z5" s="397"/>
      <c r="AA5" s="397"/>
      <c r="AB5" s="324"/>
      <c r="AC5" s="266"/>
      <c r="AD5" s="328"/>
      <c r="AE5" s="259"/>
      <c r="AF5" s="259"/>
      <c r="AG5" s="259"/>
      <c r="AH5" s="259"/>
      <c r="AI5" s="259"/>
    </row>
    <row r="6" spans="1:35" ht="23.25" customHeight="1">
      <c r="A6" s="252" t="s">
        <v>925</v>
      </c>
      <c r="B6" s="259" t="s">
        <v>1610</v>
      </c>
      <c r="C6" s="259">
        <v>2022</v>
      </c>
      <c r="D6" s="259"/>
      <c r="E6" s="382">
        <v>148</v>
      </c>
      <c r="F6" s="259">
        <v>32.380000000000003</v>
      </c>
      <c r="G6" s="259">
        <v>9.0399999999999991</v>
      </c>
      <c r="H6" s="259" t="s">
        <v>24</v>
      </c>
      <c r="I6" s="259" t="s">
        <v>924</v>
      </c>
      <c r="J6" s="32"/>
      <c r="K6" s="259" t="s">
        <v>974</v>
      </c>
      <c r="L6" s="328" t="s">
        <v>711</v>
      </c>
      <c r="M6" s="259">
        <v>1058.68</v>
      </c>
      <c r="N6" s="259">
        <v>359</v>
      </c>
      <c r="O6" s="259" t="s">
        <v>1380</v>
      </c>
      <c r="P6" s="319" t="s">
        <v>977</v>
      </c>
      <c r="R6" s="259" t="s">
        <v>1587</v>
      </c>
      <c r="S6" s="259" t="s">
        <v>1585</v>
      </c>
      <c r="U6" s="259"/>
      <c r="V6" s="264">
        <v>-6.2E-2</v>
      </c>
      <c r="W6" s="259">
        <v>-1</v>
      </c>
      <c r="X6" s="261">
        <v>1</v>
      </c>
      <c r="Y6" s="257">
        <f t="shared" si="0"/>
        <v>6.2E-2</v>
      </c>
      <c r="Z6" s="397"/>
      <c r="AA6" s="397"/>
      <c r="AB6" s="324"/>
      <c r="AC6" s="265">
        <v>2.4399999999999999E-4</v>
      </c>
      <c r="AD6" s="327">
        <v>4.37E-4</v>
      </c>
      <c r="AE6" s="266">
        <v>-0.33</v>
      </c>
      <c r="AF6" s="266">
        <v>1.19</v>
      </c>
      <c r="AG6" s="265"/>
      <c r="AH6" s="245"/>
      <c r="AI6" s="245"/>
    </row>
    <row r="7" spans="1:35" ht="19" customHeight="1">
      <c r="A7" s="252" t="s">
        <v>925</v>
      </c>
      <c r="B7" s="259" t="s">
        <v>1610</v>
      </c>
      <c r="C7" s="259">
        <v>2022</v>
      </c>
      <c r="D7" s="259"/>
      <c r="E7" s="382">
        <v>148</v>
      </c>
      <c r="F7" s="259">
        <v>32.380000000000003</v>
      </c>
      <c r="G7" s="259">
        <v>9.0399999999999991</v>
      </c>
      <c r="H7" s="259" t="s">
        <v>24</v>
      </c>
      <c r="I7" s="259" t="s">
        <v>924</v>
      </c>
      <c r="J7" s="32"/>
      <c r="K7" s="259" t="s">
        <v>984</v>
      </c>
      <c r="L7" s="328" t="s">
        <v>975</v>
      </c>
      <c r="M7" s="259">
        <v>912</v>
      </c>
      <c r="N7" s="259">
        <v>359</v>
      </c>
      <c r="O7" s="259" t="s">
        <v>1381</v>
      </c>
      <c r="P7" s="319" t="s">
        <v>977</v>
      </c>
      <c r="R7" s="259" t="s">
        <v>1587</v>
      </c>
      <c r="S7" s="259" t="s">
        <v>1586</v>
      </c>
      <c r="T7" s="259"/>
      <c r="U7" s="259"/>
      <c r="V7" s="264">
        <v>-7.0999999999999994E-2</v>
      </c>
      <c r="W7" s="261">
        <v>-1</v>
      </c>
      <c r="X7" s="261">
        <v>1</v>
      </c>
      <c r="Y7" s="257">
        <f t="shared" si="0"/>
        <v>7.0999999999999994E-2</v>
      </c>
      <c r="Z7" s="397"/>
      <c r="AA7" s="397"/>
      <c r="AB7" s="324"/>
      <c r="AC7" s="252"/>
      <c r="AE7" s="266">
        <v>-0.17</v>
      </c>
      <c r="AF7" s="266">
        <v>1.24</v>
      </c>
      <c r="AG7" s="265"/>
      <c r="AH7" s="245"/>
      <c r="AI7" s="245"/>
    </row>
    <row r="8" spans="1:35" ht="19" customHeight="1">
      <c r="A8" s="252" t="s">
        <v>925</v>
      </c>
      <c r="B8" s="259" t="s">
        <v>1609</v>
      </c>
      <c r="C8" s="259">
        <v>2017</v>
      </c>
      <c r="D8" s="259"/>
      <c r="E8" s="382">
        <v>37</v>
      </c>
      <c r="F8" s="259">
        <v>27.5</v>
      </c>
      <c r="G8" s="259">
        <v>7.3</v>
      </c>
      <c r="H8" s="110" t="s">
        <v>1987</v>
      </c>
      <c r="I8" s="259" t="s">
        <v>924</v>
      </c>
      <c r="J8" s="32"/>
      <c r="K8" s="259" t="s">
        <v>938</v>
      </c>
      <c r="L8" s="328" t="s">
        <v>711</v>
      </c>
      <c r="M8" s="259">
        <v>822</v>
      </c>
      <c r="N8" s="259">
        <v>324</v>
      </c>
      <c r="O8" s="259" t="s">
        <v>1475</v>
      </c>
      <c r="P8" s="319" t="s">
        <v>977</v>
      </c>
      <c r="R8" s="259" t="s">
        <v>1587</v>
      </c>
      <c r="S8" s="259" t="s">
        <v>1585</v>
      </c>
      <c r="U8" s="259"/>
      <c r="V8" s="264">
        <v>0.24</v>
      </c>
      <c r="W8" s="259">
        <v>-1</v>
      </c>
      <c r="X8" s="261">
        <v>1</v>
      </c>
      <c r="Y8" s="257">
        <f t="shared" si="0"/>
        <v>-0.24</v>
      </c>
      <c r="Z8" s="397"/>
      <c r="AA8" s="397"/>
      <c r="AB8" s="324"/>
      <c r="AC8" s="266"/>
      <c r="AD8" s="328"/>
      <c r="AE8" s="259"/>
      <c r="AF8" s="259"/>
      <c r="AG8" s="259"/>
      <c r="AH8" s="245"/>
      <c r="AI8" s="245"/>
    </row>
    <row r="9" spans="1:35" ht="19" customHeight="1">
      <c r="A9" s="252" t="s">
        <v>925</v>
      </c>
      <c r="B9" s="259" t="s">
        <v>1609</v>
      </c>
      <c r="C9" s="259">
        <v>2020</v>
      </c>
      <c r="D9" s="259"/>
      <c r="E9" s="382">
        <v>19</v>
      </c>
      <c r="F9" s="259">
        <v>23.5</v>
      </c>
      <c r="G9" s="259">
        <v>6.1</v>
      </c>
      <c r="H9" s="259" t="s">
        <v>1876</v>
      </c>
      <c r="I9" s="259" t="s">
        <v>924</v>
      </c>
      <c r="J9" s="32"/>
      <c r="K9" s="259" t="s">
        <v>938</v>
      </c>
      <c r="L9" s="328" t="s">
        <v>711</v>
      </c>
      <c r="M9" s="164">
        <v>1042</v>
      </c>
      <c r="N9" s="164">
        <v>428</v>
      </c>
      <c r="O9" s="110" t="s">
        <v>1877</v>
      </c>
      <c r="P9" s="319" t="s">
        <v>977</v>
      </c>
      <c r="Q9" s="259"/>
      <c r="R9" s="259" t="s">
        <v>1587</v>
      </c>
      <c r="S9" s="259" t="s">
        <v>1586</v>
      </c>
      <c r="U9" s="259"/>
      <c r="V9" s="264">
        <v>0</v>
      </c>
      <c r="W9" s="252">
        <v>1</v>
      </c>
      <c r="X9" s="261">
        <v>1</v>
      </c>
      <c r="Y9" s="257">
        <f t="shared" si="0"/>
        <v>0</v>
      </c>
      <c r="Z9" s="397"/>
      <c r="AA9" s="397"/>
      <c r="AB9" s="324"/>
      <c r="AC9" s="266"/>
      <c r="AD9" s="328"/>
      <c r="AE9" s="259"/>
      <c r="AF9" s="259"/>
      <c r="AG9" s="259"/>
      <c r="AH9" s="259"/>
      <c r="AI9" s="259"/>
    </row>
    <row r="10" spans="1:35" ht="19" customHeight="1">
      <c r="A10" s="252" t="s">
        <v>925</v>
      </c>
      <c r="B10" s="259" t="s">
        <v>1609</v>
      </c>
      <c r="C10" s="259">
        <v>2017</v>
      </c>
      <c r="D10" s="259"/>
      <c r="E10" s="382">
        <v>37</v>
      </c>
      <c r="F10" s="259">
        <v>27.5</v>
      </c>
      <c r="G10" s="259">
        <v>7.3</v>
      </c>
      <c r="H10" s="110" t="s">
        <v>1987</v>
      </c>
      <c r="I10" s="259" t="s">
        <v>924</v>
      </c>
      <c r="J10" s="32"/>
      <c r="K10" s="259" t="s">
        <v>938</v>
      </c>
      <c r="L10" s="328" t="s">
        <v>711</v>
      </c>
      <c r="M10" s="259">
        <v>822</v>
      </c>
      <c r="N10" s="259">
        <v>324</v>
      </c>
      <c r="O10" s="259" t="s">
        <v>1475</v>
      </c>
      <c r="P10" s="319" t="s">
        <v>977</v>
      </c>
      <c r="Q10" s="259"/>
      <c r="R10" s="259" t="s">
        <v>1587</v>
      </c>
      <c r="S10" s="259" t="s">
        <v>1586</v>
      </c>
      <c r="T10" s="259" t="s">
        <v>651</v>
      </c>
      <c r="U10" s="259"/>
      <c r="V10" s="264">
        <v>0.23</v>
      </c>
      <c r="W10" s="259">
        <v>1</v>
      </c>
      <c r="X10" s="261">
        <v>1</v>
      </c>
      <c r="Y10" s="257">
        <f t="shared" si="0"/>
        <v>0.23</v>
      </c>
      <c r="Z10" s="397"/>
      <c r="AA10" s="397"/>
      <c r="AB10" s="324"/>
      <c r="AC10" s="266"/>
      <c r="AD10" s="328"/>
      <c r="AE10" s="259"/>
      <c r="AF10" s="259"/>
      <c r="AG10" s="259"/>
      <c r="AH10" s="259"/>
      <c r="AI10" s="259"/>
    </row>
    <row r="11" spans="1:35" ht="19" customHeight="1">
      <c r="A11" s="252" t="s">
        <v>925</v>
      </c>
      <c r="B11" s="259" t="s">
        <v>1609</v>
      </c>
      <c r="C11" s="259">
        <v>2017</v>
      </c>
      <c r="D11" s="259"/>
      <c r="E11" s="382">
        <v>37</v>
      </c>
      <c r="F11" s="259">
        <v>27.5</v>
      </c>
      <c r="G11" s="259">
        <v>7.3</v>
      </c>
      <c r="H11" s="110" t="s">
        <v>1987</v>
      </c>
      <c r="I11" s="259" t="s">
        <v>924</v>
      </c>
      <c r="J11" s="32"/>
      <c r="K11" s="259" t="s">
        <v>938</v>
      </c>
      <c r="L11" s="328" t="s">
        <v>965</v>
      </c>
      <c r="M11" s="259">
        <v>822</v>
      </c>
      <c r="N11" s="259">
        <v>324</v>
      </c>
      <c r="O11" s="110" t="s">
        <v>1475</v>
      </c>
      <c r="P11" s="319" t="s">
        <v>977</v>
      </c>
      <c r="Q11" s="259"/>
      <c r="R11" s="259" t="s">
        <v>2246</v>
      </c>
      <c r="S11" s="259"/>
      <c r="T11" s="259" t="s">
        <v>997</v>
      </c>
      <c r="U11" s="259"/>
      <c r="V11" s="264">
        <v>0.35</v>
      </c>
      <c r="W11" s="259">
        <v>1</v>
      </c>
      <c r="X11" s="261">
        <v>1</v>
      </c>
      <c r="Y11" s="257">
        <f t="shared" si="0"/>
        <v>0.35</v>
      </c>
      <c r="Z11" s="397"/>
      <c r="AA11" s="397"/>
      <c r="AB11" s="324"/>
      <c r="AC11" s="266"/>
      <c r="AD11" s="328"/>
      <c r="AE11" s="259"/>
      <c r="AF11" s="259"/>
      <c r="AG11" s="259"/>
      <c r="AH11" s="259"/>
      <c r="AI11" s="259"/>
    </row>
    <row r="12" spans="1:35" ht="19" customHeight="1">
      <c r="A12" s="252" t="s">
        <v>925</v>
      </c>
      <c r="B12" s="259" t="s">
        <v>1609</v>
      </c>
      <c r="C12" s="259">
        <v>2020</v>
      </c>
      <c r="D12" s="259"/>
      <c r="E12" s="382">
        <v>19</v>
      </c>
      <c r="F12" s="259">
        <v>23.5</v>
      </c>
      <c r="G12" s="259">
        <v>6.1</v>
      </c>
      <c r="H12" s="259" t="s">
        <v>1876</v>
      </c>
      <c r="I12" s="259" t="s">
        <v>924</v>
      </c>
      <c r="J12" s="32"/>
      <c r="K12" s="259" t="s">
        <v>938</v>
      </c>
      <c r="L12" s="328" t="s">
        <v>965</v>
      </c>
      <c r="M12" s="164">
        <v>1042</v>
      </c>
      <c r="N12" s="164">
        <v>428</v>
      </c>
      <c r="O12" s="110" t="s">
        <v>1877</v>
      </c>
      <c r="P12" s="319" t="s">
        <v>977</v>
      </c>
      <c r="Q12" s="259"/>
      <c r="R12" s="259" t="s">
        <v>2246</v>
      </c>
      <c r="S12" s="259"/>
      <c r="T12" s="259" t="s">
        <v>997</v>
      </c>
      <c r="U12" s="259"/>
      <c r="V12" s="264">
        <v>0.54</v>
      </c>
      <c r="W12" s="252">
        <v>1</v>
      </c>
      <c r="X12" s="261">
        <v>1</v>
      </c>
      <c r="Y12" s="257">
        <f t="shared" si="0"/>
        <v>0.54</v>
      </c>
      <c r="Z12" s="397"/>
      <c r="AA12" s="397"/>
      <c r="AB12" s="324"/>
      <c r="AC12" s="266"/>
      <c r="AD12" s="328"/>
      <c r="AE12" s="259"/>
      <c r="AF12" s="259"/>
      <c r="AG12" s="259"/>
      <c r="AH12" s="259"/>
      <c r="AI12" s="259"/>
    </row>
    <row r="13" spans="1:35" ht="19" customHeight="1">
      <c r="A13" s="252" t="s">
        <v>925</v>
      </c>
      <c r="B13" s="259" t="s">
        <v>989</v>
      </c>
      <c r="C13" s="259">
        <v>2020</v>
      </c>
      <c r="D13" s="259"/>
      <c r="E13" s="382">
        <v>16</v>
      </c>
      <c r="F13" s="259">
        <v>25.8</v>
      </c>
      <c r="G13" s="259" t="s">
        <v>990</v>
      </c>
      <c r="H13" s="259" t="s">
        <v>24</v>
      </c>
      <c r="I13" s="259" t="s">
        <v>924</v>
      </c>
      <c r="J13" s="32"/>
      <c r="K13" s="259" t="s">
        <v>991</v>
      </c>
      <c r="L13" s="328" t="s">
        <v>934</v>
      </c>
      <c r="M13" s="259">
        <v>926</v>
      </c>
      <c r="N13" s="259">
        <v>430</v>
      </c>
      <c r="O13" s="259" t="s">
        <v>24</v>
      </c>
      <c r="P13" s="319" t="s">
        <v>977</v>
      </c>
      <c r="R13" s="259" t="s">
        <v>2246</v>
      </c>
      <c r="T13" s="259" t="s">
        <v>1355</v>
      </c>
      <c r="U13" s="259" t="s">
        <v>2262</v>
      </c>
      <c r="V13" s="264">
        <v>0.2</v>
      </c>
      <c r="W13" s="259">
        <v>1</v>
      </c>
      <c r="X13" s="261">
        <v>1</v>
      </c>
      <c r="Y13" s="257">
        <f t="shared" si="0"/>
        <v>0.2</v>
      </c>
      <c r="Z13" s="397"/>
      <c r="AA13" s="397"/>
      <c r="AB13" s="324"/>
      <c r="AC13" s="266"/>
      <c r="AD13" s="330" t="s">
        <v>950</v>
      </c>
      <c r="AE13" s="259"/>
      <c r="AF13" s="259"/>
      <c r="AG13" s="259"/>
      <c r="AH13" s="245" t="s">
        <v>994</v>
      </c>
      <c r="AI13" s="245"/>
    </row>
    <row r="14" spans="1:35" ht="19" customHeight="1">
      <c r="A14" s="252" t="s">
        <v>925</v>
      </c>
      <c r="B14" s="259" t="s">
        <v>1610</v>
      </c>
      <c r="C14" s="259">
        <v>2022</v>
      </c>
      <c r="D14" s="259"/>
      <c r="E14" s="382">
        <v>150</v>
      </c>
      <c r="F14" s="259">
        <v>32.380000000000003</v>
      </c>
      <c r="G14" s="259">
        <v>9.0399999999999991</v>
      </c>
      <c r="H14" s="259" t="s">
        <v>24</v>
      </c>
      <c r="I14" s="259" t="s">
        <v>924</v>
      </c>
      <c r="J14" s="32"/>
      <c r="K14" s="259" t="s">
        <v>985</v>
      </c>
      <c r="L14" s="328" t="s">
        <v>965</v>
      </c>
      <c r="M14" s="259">
        <v>1058.68</v>
      </c>
      <c r="N14" s="259" t="s">
        <v>1046</v>
      </c>
      <c r="O14" s="259" t="s">
        <v>1085</v>
      </c>
      <c r="P14" s="319" t="s">
        <v>977</v>
      </c>
      <c r="R14" s="272" t="s">
        <v>1207</v>
      </c>
      <c r="T14" s="259"/>
      <c r="U14" s="259"/>
      <c r="V14" s="264">
        <v>-0.124</v>
      </c>
      <c r="W14" s="252">
        <v>-1</v>
      </c>
      <c r="X14" s="261">
        <v>1</v>
      </c>
      <c r="Y14" s="257">
        <f t="shared" si="0"/>
        <v>0.124</v>
      </c>
      <c r="Z14" s="397"/>
      <c r="AA14" s="397"/>
      <c r="AB14" s="324"/>
      <c r="AC14" s="265">
        <v>-3.1050000000000001E-4</v>
      </c>
      <c r="AD14" s="327">
        <v>4.504E-4</v>
      </c>
      <c r="AE14" s="266">
        <v>-0.26</v>
      </c>
      <c r="AF14" s="266">
        <v>1</v>
      </c>
      <c r="AG14" s="265"/>
      <c r="AH14" s="245"/>
      <c r="AI14" s="245"/>
    </row>
    <row r="15" spans="1:35" ht="19" customHeight="1">
      <c r="A15" s="274" t="s">
        <v>925</v>
      </c>
      <c r="B15" s="274" t="s">
        <v>1749</v>
      </c>
      <c r="C15" s="252">
        <v>2015</v>
      </c>
      <c r="E15" s="267">
        <v>14</v>
      </c>
      <c r="F15" s="252">
        <v>24.97</v>
      </c>
      <c r="G15" s="252">
        <v>1.57</v>
      </c>
      <c r="H15" s="252" t="s">
        <v>1750</v>
      </c>
      <c r="I15" s="252" t="s">
        <v>1751</v>
      </c>
      <c r="K15" s="252" t="s">
        <v>1752</v>
      </c>
      <c r="L15" s="323" t="s">
        <v>1753</v>
      </c>
      <c r="M15" s="252">
        <v>727</v>
      </c>
      <c r="N15" s="252">
        <v>199</v>
      </c>
      <c r="O15" s="252" t="s">
        <v>1754</v>
      </c>
      <c r="P15" s="319" t="s">
        <v>977</v>
      </c>
      <c r="R15" s="272" t="s">
        <v>1207</v>
      </c>
      <c r="S15" s="275" t="s">
        <v>1780</v>
      </c>
      <c r="T15" s="272"/>
      <c r="V15" s="252">
        <v>-0.66200000000000003</v>
      </c>
      <c r="W15" s="259">
        <v>-1</v>
      </c>
      <c r="X15" s="261">
        <v>1</v>
      </c>
      <c r="Y15" s="257">
        <v>0.66200000000000003</v>
      </c>
      <c r="Z15" s="397"/>
      <c r="AA15" s="397"/>
      <c r="AB15" s="324"/>
      <c r="AC15" s="266"/>
    </row>
    <row r="16" spans="1:35" ht="19" customHeight="1">
      <c r="A16" s="252" t="s">
        <v>925</v>
      </c>
      <c r="B16" s="259" t="s">
        <v>1609</v>
      </c>
      <c r="C16" s="259">
        <v>2020</v>
      </c>
      <c r="D16" s="259"/>
      <c r="E16" s="382">
        <v>19</v>
      </c>
      <c r="F16" s="259">
        <v>23.5</v>
      </c>
      <c r="G16" s="259">
        <v>6.1</v>
      </c>
      <c r="H16" s="259" t="s">
        <v>1876</v>
      </c>
      <c r="I16" s="259" t="s">
        <v>924</v>
      </c>
      <c r="J16" s="32"/>
      <c r="K16" s="259" t="s">
        <v>938</v>
      </c>
      <c r="L16" s="328" t="s">
        <v>711</v>
      </c>
      <c r="M16" s="164">
        <v>1042</v>
      </c>
      <c r="N16" s="164">
        <v>428</v>
      </c>
      <c r="O16" s="110" t="s">
        <v>1877</v>
      </c>
      <c r="P16" s="319" t="s">
        <v>977</v>
      </c>
      <c r="Q16" s="259"/>
      <c r="R16" s="272" t="s">
        <v>1207</v>
      </c>
      <c r="S16" s="259"/>
      <c r="T16" s="259"/>
      <c r="U16" s="259"/>
      <c r="V16" s="264">
        <v>-0.57999999999999996</v>
      </c>
      <c r="W16" s="252">
        <v>-1</v>
      </c>
      <c r="X16" s="261">
        <v>1</v>
      </c>
      <c r="Y16" s="257">
        <f t="shared" ref="Y16:Y25" si="1">V16*W16</f>
        <v>0.57999999999999996</v>
      </c>
      <c r="Z16" s="397"/>
      <c r="AA16" s="397"/>
      <c r="AB16" s="324"/>
      <c r="AC16" s="266"/>
      <c r="AD16" s="328"/>
      <c r="AE16" s="259"/>
      <c r="AF16" s="259"/>
      <c r="AG16" s="259"/>
      <c r="AH16" s="259"/>
      <c r="AI16" s="259"/>
    </row>
    <row r="17" spans="1:35" ht="19" customHeight="1">
      <c r="A17" s="252" t="s">
        <v>925</v>
      </c>
      <c r="B17" s="259" t="s">
        <v>1609</v>
      </c>
      <c r="C17" s="259">
        <v>2017</v>
      </c>
      <c r="D17" s="259"/>
      <c r="E17" s="382">
        <v>37</v>
      </c>
      <c r="F17" s="259">
        <v>27.5</v>
      </c>
      <c r="G17" s="259">
        <v>7.3</v>
      </c>
      <c r="H17" s="110" t="s">
        <v>1987</v>
      </c>
      <c r="I17" s="259" t="s">
        <v>924</v>
      </c>
      <c r="J17" s="32"/>
      <c r="K17" s="259" t="s">
        <v>938</v>
      </c>
      <c r="L17" s="328" t="s">
        <v>711</v>
      </c>
      <c r="M17" s="259">
        <v>822</v>
      </c>
      <c r="N17" s="259">
        <v>324</v>
      </c>
      <c r="O17" s="259" t="s">
        <v>1475</v>
      </c>
      <c r="P17" s="319" t="s">
        <v>977</v>
      </c>
      <c r="Q17" s="259"/>
      <c r="R17" s="272" t="s">
        <v>1207</v>
      </c>
      <c r="S17" s="259"/>
      <c r="T17" s="259" t="s">
        <v>651</v>
      </c>
      <c r="U17" s="259"/>
      <c r="V17" s="264">
        <v>0.19</v>
      </c>
      <c r="W17" s="259">
        <v>1</v>
      </c>
      <c r="X17" s="261">
        <v>1</v>
      </c>
      <c r="Y17" s="257">
        <f t="shared" si="1"/>
        <v>0.19</v>
      </c>
      <c r="Z17" s="397"/>
      <c r="AA17" s="397"/>
      <c r="AB17" s="324"/>
      <c r="AC17" s="266"/>
      <c r="AD17" s="328"/>
      <c r="AE17" s="259"/>
      <c r="AF17" s="259"/>
      <c r="AG17" s="259"/>
      <c r="AH17" s="259"/>
      <c r="AI17" s="259"/>
    </row>
    <row r="18" spans="1:35" ht="19" customHeight="1">
      <c r="A18" s="252" t="s">
        <v>932</v>
      </c>
      <c r="B18" s="252" t="s">
        <v>933</v>
      </c>
      <c r="C18" s="252">
        <v>2023</v>
      </c>
      <c r="E18" s="267">
        <v>40</v>
      </c>
      <c r="F18" s="252">
        <v>26.4</v>
      </c>
      <c r="G18" s="252">
        <v>5.5</v>
      </c>
      <c r="H18" s="31" t="s">
        <v>1103</v>
      </c>
      <c r="I18" s="259" t="s">
        <v>924</v>
      </c>
      <c r="L18" s="323" t="s">
        <v>934</v>
      </c>
      <c r="M18" s="252">
        <v>589</v>
      </c>
      <c r="N18" s="252">
        <v>444</v>
      </c>
      <c r="O18" s="252" t="s">
        <v>987</v>
      </c>
      <c r="P18" s="319" t="s">
        <v>977</v>
      </c>
      <c r="R18" s="259" t="s">
        <v>1158</v>
      </c>
      <c r="S18" s="259"/>
      <c r="T18" s="252" t="s">
        <v>988</v>
      </c>
      <c r="U18" s="252" t="s">
        <v>1458</v>
      </c>
      <c r="V18" s="260">
        <v>-0.4</v>
      </c>
      <c r="W18" s="252">
        <v>-1</v>
      </c>
      <c r="X18" s="261">
        <v>1</v>
      </c>
      <c r="Y18" s="257">
        <f t="shared" si="1"/>
        <v>0.4</v>
      </c>
      <c r="Z18" s="397"/>
      <c r="AA18" s="397"/>
      <c r="AB18" s="324"/>
      <c r="AC18" s="266"/>
    </row>
    <row r="19" spans="1:35" ht="19" customHeight="1">
      <c r="A19" s="252" t="s">
        <v>932</v>
      </c>
      <c r="B19" s="288" t="s">
        <v>2296</v>
      </c>
      <c r="C19" s="272">
        <v>2007</v>
      </c>
      <c r="E19" s="267">
        <v>12</v>
      </c>
      <c r="F19" s="271">
        <v>28.5</v>
      </c>
      <c r="G19" s="273">
        <v>3.3</v>
      </c>
      <c r="H19" s="252" t="s">
        <v>24</v>
      </c>
      <c r="I19" s="252" t="s">
        <v>924</v>
      </c>
      <c r="K19" s="252" t="s">
        <v>2223</v>
      </c>
      <c r="L19" s="328" t="s">
        <v>711</v>
      </c>
      <c r="M19" s="252" t="s">
        <v>2184</v>
      </c>
      <c r="N19" s="252" t="s">
        <v>2184</v>
      </c>
      <c r="O19" s="252" t="s">
        <v>24</v>
      </c>
      <c r="P19" s="319" t="s">
        <v>977</v>
      </c>
      <c r="R19" s="259" t="s">
        <v>1587</v>
      </c>
      <c r="S19" s="259" t="s">
        <v>1585</v>
      </c>
      <c r="T19" s="252" t="s">
        <v>2247</v>
      </c>
      <c r="U19" s="252" t="s">
        <v>2224</v>
      </c>
      <c r="V19" s="260">
        <v>-0.06</v>
      </c>
      <c r="W19" s="252">
        <v>-1</v>
      </c>
      <c r="X19" s="261">
        <v>0</v>
      </c>
      <c r="Y19" s="257">
        <f t="shared" si="1"/>
        <v>0.06</v>
      </c>
      <c r="Z19" s="397"/>
      <c r="AA19" s="397"/>
      <c r="AC19" s="266"/>
    </row>
    <row r="20" spans="1:35" ht="19" customHeight="1">
      <c r="A20" s="252" t="s">
        <v>932</v>
      </c>
      <c r="B20" s="288" t="s">
        <v>2296</v>
      </c>
      <c r="C20" s="272">
        <v>2007</v>
      </c>
      <c r="E20" s="267">
        <v>12</v>
      </c>
      <c r="F20" s="271">
        <v>28.5</v>
      </c>
      <c r="G20" s="273">
        <v>3.3</v>
      </c>
      <c r="H20" s="252" t="s">
        <v>24</v>
      </c>
      <c r="I20" s="252" t="s">
        <v>924</v>
      </c>
      <c r="K20" s="252" t="s">
        <v>2223</v>
      </c>
      <c r="L20" s="328" t="s">
        <v>711</v>
      </c>
      <c r="M20" s="252" t="s">
        <v>2184</v>
      </c>
      <c r="N20" s="252" t="s">
        <v>2184</v>
      </c>
      <c r="O20" s="252" t="s">
        <v>24</v>
      </c>
      <c r="P20" s="319" t="s">
        <v>977</v>
      </c>
      <c r="R20" s="259" t="s">
        <v>1587</v>
      </c>
      <c r="S20" s="259" t="s">
        <v>1586</v>
      </c>
      <c r="T20" s="252" t="s">
        <v>2247</v>
      </c>
      <c r="U20" s="252" t="s">
        <v>2224</v>
      </c>
      <c r="V20" s="264">
        <v>-0.06</v>
      </c>
      <c r="W20" s="259">
        <v>-1</v>
      </c>
      <c r="X20" s="261">
        <v>0</v>
      </c>
      <c r="Y20" s="257">
        <f t="shared" si="1"/>
        <v>0.06</v>
      </c>
      <c r="Z20" s="397"/>
      <c r="AA20" s="397"/>
      <c r="AB20" s="324"/>
      <c r="AC20" s="266"/>
      <c r="AD20" s="328"/>
      <c r="AE20" s="259"/>
      <c r="AF20" s="259"/>
      <c r="AG20" s="259"/>
      <c r="AH20" s="259"/>
      <c r="AI20" s="259"/>
    </row>
    <row r="21" spans="1:35" ht="19" customHeight="1">
      <c r="A21" s="252" t="s">
        <v>932</v>
      </c>
      <c r="B21" s="252" t="s">
        <v>491</v>
      </c>
      <c r="C21" s="252">
        <v>2013</v>
      </c>
      <c r="D21" s="252" t="s">
        <v>944</v>
      </c>
      <c r="E21" s="267">
        <v>57</v>
      </c>
      <c r="F21" s="252">
        <v>27.48</v>
      </c>
      <c r="G21" s="252">
        <v>4.55</v>
      </c>
      <c r="H21" s="31" t="s">
        <v>896</v>
      </c>
      <c r="I21" s="259" t="s">
        <v>924</v>
      </c>
      <c r="L21" s="323" t="s">
        <v>945</v>
      </c>
      <c r="M21" s="252" t="s">
        <v>899</v>
      </c>
      <c r="N21" s="252" t="s">
        <v>24</v>
      </c>
      <c r="O21" s="252" t="s">
        <v>24</v>
      </c>
      <c r="P21" s="319" t="s">
        <v>977</v>
      </c>
      <c r="Q21" s="259"/>
      <c r="R21" s="259" t="s">
        <v>2246</v>
      </c>
      <c r="S21" s="259"/>
      <c r="T21" s="252" t="s">
        <v>903</v>
      </c>
      <c r="U21" s="259" t="s">
        <v>902</v>
      </c>
      <c r="V21" s="260">
        <v>-0.59</v>
      </c>
      <c r="W21" s="252">
        <v>-1</v>
      </c>
      <c r="X21" s="261">
        <v>1</v>
      </c>
      <c r="Y21" s="257">
        <f t="shared" si="1"/>
        <v>0.59</v>
      </c>
      <c r="Z21" s="397"/>
      <c r="AA21" s="397"/>
      <c r="AB21" s="324"/>
      <c r="AC21" s="266" t="s">
        <v>1373</v>
      </c>
    </row>
    <row r="22" spans="1:35" ht="19" customHeight="1">
      <c r="A22" s="252" t="s">
        <v>932</v>
      </c>
      <c r="B22" s="288" t="s">
        <v>2296</v>
      </c>
      <c r="C22" s="272">
        <v>2007</v>
      </c>
      <c r="E22" s="267">
        <v>12</v>
      </c>
      <c r="F22" s="271">
        <v>28.5</v>
      </c>
      <c r="G22" s="273">
        <v>3.3</v>
      </c>
      <c r="H22" s="252" t="s">
        <v>24</v>
      </c>
      <c r="I22" s="252" t="s">
        <v>924</v>
      </c>
      <c r="K22" s="252" t="s">
        <v>2223</v>
      </c>
      <c r="L22" s="328" t="s">
        <v>965</v>
      </c>
      <c r="M22" s="252" t="s">
        <v>2184</v>
      </c>
      <c r="N22" s="252" t="s">
        <v>2184</v>
      </c>
      <c r="O22" s="252" t="s">
        <v>24</v>
      </c>
      <c r="P22" s="319" t="s">
        <v>977</v>
      </c>
      <c r="Q22" s="259"/>
      <c r="R22" s="259" t="s">
        <v>2246</v>
      </c>
      <c r="T22" s="252" t="s">
        <v>2244</v>
      </c>
      <c r="U22" s="252" t="s">
        <v>2224</v>
      </c>
      <c r="V22" s="260">
        <v>0.38</v>
      </c>
      <c r="W22" s="252">
        <v>1</v>
      </c>
      <c r="X22" s="261">
        <v>1</v>
      </c>
      <c r="Y22" s="257">
        <f t="shared" si="1"/>
        <v>0.38</v>
      </c>
      <c r="Z22" s="397"/>
      <c r="AA22" s="397"/>
      <c r="AB22" s="323"/>
      <c r="AC22" s="266"/>
      <c r="AD22" s="329"/>
      <c r="AE22" s="269"/>
      <c r="AF22" s="269"/>
      <c r="AG22" s="269"/>
    </row>
    <row r="23" spans="1:35" ht="19" customHeight="1">
      <c r="A23" s="252" t="s">
        <v>932</v>
      </c>
      <c r="B23" s="288" t="s">
        <v>2296</v>
      </c>
      <c r="C23" s="272">
        <v>2007</v>
      </c>
      <c r="E23" s="267">
        <v>12</v>
      </c>
      <c r="F23" s="271">
        <v>28.5</v>
      </c>
      <c r="G23" s="273">
        <v>3.3</v>
      </c>
      <c r="H23" s="252" t="s">
        <v>24</v>
      </c>
      <c r="I23" s="252" t="s">
        <v>924</v>
      </c>
      <c r="K23" s="252" t="s">
        <v>2223</v>
      </c>
      <c r="L23" s="328" t="s">
        <v>965</v>
      </c>
      <c r="M23" s="252" t="s">
        <v>2184</v>
      </c>
      <c r="N23" s="252" t="s">
        <v>2184</v>
      </c>
      <c r="O23" s="252" t="s">
        <v>24</v>
      </c>
      <c r="P23" s="319" t="s">
        <v>977</v>
      </c>
      <c r="R23" s="259" t="s">
        <v>2246</v>
      </c>
      <c r="T23" s="252" t="s">
        <v>2245</v>
      </c>
      <c r="U23" s="252" t="s">
        <v>2224</v>
      </c>
      <c r="V23" s="260">
        <v>0.68</v>
      </c>
      <c r="W23" s="252">
        <v>1</v>
      </c>
      <c r="X23" s="261">
        <v>1</v>
      </c>
      <c r="Y23" s="257">
        <f t="shared" si="1"/>
        <v>0.68</v>
      </c>
      <c r="Z23" s="397"/>
      <c r="AA23" s="397"/>
      <c r="AC23" s="266"/>
    </row>
    <row r="24" spans="1:35" ht="19" customHeight="1">
      <c r="A24" s="252" t="s">
        <v>932</v>
      </c>
      <c r="B24" s="252" t="s">
        <v>933</v>
      </c>
      <c r="C24" s="252">
        <v>2023</v>
      </c>
      <c r="E24" s="267">
        <v>40</v>
      </c>
      <c r="F24" s="252">
        <v>26.4</v>
      </c>
      <c r="G24" s="252">
        <v>5.5</v>
      </c>
      <c r="H24" s="31" t="s">
        <v>1103</v>
      </c>
      <c r="I24" s="259" t="s">
        <v>924</v>
      </c>
      <c r="L24" s="323" t="s">
        <v>934</v>
      </c>
      <c r="M24" s="252">
        <v>589</v>
      </c>
      <c r="N24" s="252">
        <v>444</v>
      </c>
      <c r="O24" s="252" t="s">
        <v>976</v>
      </c>
      <c r="P24" s="319" t="s">
        <v>977</v>
      </c>
      <c r="R24" s="272" t="s">
        <v>1207</v>
      </c>
      <c r="U24" s="252" t="s">
        <v>1457</v>
      </c>
      <c r="V24" s="260">
        <v>-0.53</v>
      </c>
      <c r="W24" s="252">
        <v>-1</v>
      </c>
      <c r="X24" s="261">
        <v>1</v>
      </c>
      <c r="Y24" s="257">
        <f t="shared" si="1"/>
        <v>0.53</v>
      </c>
      <c r="Z24" s="397"/>
      <c r="AA24" s="397"/>
      <c r="AB24" s="324"/>
      <c r="AC24" s="266"/>
    </row>
    <row r="25" spans="1:35" ht="19" customHeight="1">
      <c r="A25" s="252" t="s">
        <v>932</v>
      </c>
      <c r="B25" s="288" t="s">
        <v>2297</v>
      </c>
      <c r="C25" s="272">
        <v>2024</v>
      </c>
      <c r="E25" s="267">
        <v>25</v>
      </c>
      <c r="F25" s="252">
        <v>22</v>
      </c>
      <c r="G25" s="252" t="s">
        <v>24</v>
      </c>
      <c r="H25" s="252" t="s">
        <v>2234</v>
      </c>
      <c r="I25" s="252" t="s">
        <v>924</v>
      </c>
      <c r="K25" s="252" t="s">
        <v>2235</v>
      </c>
      <c r="L25" s="328" t="s">
        <v>711</v>
      </c>
      <c r="M25" s="252">
        <v>1331.8</v>
      </c>
      <c r="N25" s="252" t="s">
        <v>2184</v>
      </c>
      <c r="O25" s="252" t="s">
        <v>24</v>
      </c>
      <c r="P25" s="319" t="s">
        <v>977</v>
      </c>
      <c r="R25" s="272" t="s">
        <v>1207</v>
      </c>
      <c r="T25" s="252" t="s">
        <v>2249</v>
      </c>
      <c r="U25" s="252" t="s">
        <v>2251</v>
      </c>
      <c r="V25" s="252">
        <v>0.59</v>
      </c>
      <c r="W25" s="252">
        <v>1</v>
      </c>
      <c r="X25" s="261">
        <v>0</v>
      </c>
      <c r="Y25" s="257">
        <f t="shared" si="1"/>
        <v>0.59</v>
      </c>
      <c r="Z25" s="397"/>
      <c r="AA25" s="397"/>
      <c r="AB25" s="322">
        <f>AVERAGE(Y3:Y25)</f>
        <v>0.32169565217391299</v>
      </c>
      <c r="AC25" s="266"/>
    </row>
    <row r="26" spans="1:35" ht="19" customHeight="1">
      <c r="B26" s="288"/>
      <c r="C26" s="272"/>
      <c r="L26" s="328"/>
      <c r="R26" s="272"/>
      <c r="V26" s="252"/>
      <c r="X26" s="261"/>
      <c r="Y26" s="257"/>
      <c r="Z26" s="397">
        <f>AVERAGE(M3:M25)</f>
        <v>918.26888888888891</v>
      </c>
      <c r="AA26" s="397">
        <f>STDEV(M3:M25)</f>
        <v>186.49218967682688</v>
      </c>
      <c r="AB26" s="324"/>
      <c r="AC26" s="266"/>
    </row>
    <row r="27" spans="1:35" ht="19" customHeight="1">
      <c r="A27" s="252" t="s">
        <v>1144</v>
      </c>
      <c r="B27" s="259" t="s">
        <v>1424</v>
      </c>
      <c r="C27" s="259">
        <v>2013</v>
      </c>
      <c r="D27" s="259"/>
      <c r="E27" s="382">
        <v>46</v>
      </c>
      <c r="F27" s="259">
        <f>129/12</f>
        <v>10.75</v>
      </c>
      <c r="G27" s="259">
        <v>2.1</v>
      </c>
      <c r="H27" s="268" t="s">
        <v>1191</v>
      </c>
      <c r="I27" s="259" t="s">
        <v>924</v>
      </c>
      <c r="J27" s="32"/>
      <c r="K27" s="259"/>
      <c r="L27" s="323" t="s">
        <v>2254</v>
      </c>
      <c r="M27" s="164">
        <f>8.1*60.5364</f>
        <v>490.34483999999998</v>
      </c>
      <c r="N27" s="164">
        <f>6.2*60.5364</f>
        <v>375.32568000000003</v>
      </c>
      <c r="O27" s="110" t="s">
        <v>1192</v>
      </c>
      <c r="P27" s="319" t="s">
        <v>977</v>
      </c>
      <c r="Q27" s="259"/>
      <c r="R27" s="259" t="s">
        <v>1158</v>
      </c>
      <c r="S27" s="259"/>
      <c r="T27" s="259" t="s">
        <v>1429</v>
      </c>
      <c r="U27" s="259"/>
      <c r="V27" s="264">
        <v>-0.78100000000000003</v>
      </c>
      <c r="W27" s="259">
        <v>-1</v>
      </c>
      <c r="X27" s="261">
        <v>1</v>
      </c>
      <c r="Y27" s="257">
        <f t="shared" ref="Y27:Y42" si="2">V27*W27</f>
        <v>0.78100000000000003</v>
      </c>
      <c r="Z27" s="397"/>
      <c r="AA27" s="397"/>
      <c r="AB27" s="324"/>
      <c r="AC27" s="266"/>
      <c r="AD27" s="328"/>
      <c r="AE27" s="259"/>
      <c r="AF27" s="259"/>
      <c r="AG27" s="259"/>
      <c r="AH27" s="245"/>
      <c r="AI27" s="245"/>
    </row>
    <row r="28" spans="1:35" ht="19" customHeight="1">
      <c r="A28" s="252" t="s">
        <v>1144</v>
      </c>
      <c r="B28" s="259" t="s">
        <v>1325</v>
      </c>
      <c r="C28" s="259">
        <v>1997</v>
      </c>
      <c r="D28" s="259"/>
      <c r="E28" s="382">
        <v>15</v>
      </c>
      <c r="F28" s="252">
        <v>12.13</v>
      </c>
      <c r="G28" s="252">
        <v>1.21</v>
      </c>
      <c r="H28" s="259" t="s">
        <v>24</v>
      </c>
      <c r="I28" s="259" t="s">
        <v>924</v>
      </c>
      <c r="J28" s="32"/>
      <c r="K28" s="259"/>
      <c r="L28" s="328" t="s">
        <v>711</v>
      </c>
      <c r="M28" s="252">
        <v>547</v>
      </c>
      <c r="N28" s="252">
        <v>270</v>
      </c>
      <c r="O28" s="259" t="s">
        <v>24</v>
      </c>
      <c r="P28" s="319" t="s">
        <v>977</v>
      </c>
      <c r="R28" s="252" t="s">
        <v>377</v>
      </c>
      <c r="V28" s="264">
        <v>-0.19</v>
      </c>
      <c r="W28" s="259">
        <v>-1</v>
      </c>
      <c r="X28" s="261">
        <v>1</v>
      </c>
      <c r="Y28" s="257">
        <f t="shared" si="2"/>
        <v>0.19</v>
      </c>
      <c r="Z28" s="397"/>
      <c r="AA28" s="397"/>
      <c r="AB28" s="324"/>
      <c r="AC28" s="266"/>
      <c r="AD28" s="329"/>
      <c r="AE28" s="269"/>
      <c r="AF28" s="269"/>
      <c r="AG28" s="269"/>
      <c r="AH28" s="259"/>
      <c r="AI28" s="259"/>
    </row>
    <row r="29" spans="1:35" ht="19" customHeight="1">
      <c r="A29" s="252" t="s">
        <v>1144</v>
      </c>
      <c r="B29" s="252" t="s">
        <v>1614</v>
      </c>
      <c r="C29" s="252">
        <v>2005</v>
      </c>
      <c r="E29" s="267">
        <v>42</v>
      </c>
      <c r="F29" s="252">
        <v>17.8</v>
      </c>
      <c r="G29" s="252">
        <v>2.7</v>
      </c>
      <c r="H29" s="136" t="s">
        <v>749</v>
      </c>
      <c r="I29" s="259" t="s">
        <v>924</v>
      </c>
      <c r="L29" s="328" t="s">
        <v>711</v>
      </c>
      <c r="M29" s="252">
        <v>906</v>
      </c>
      <c r="N29" s="252">
        <v>396</v>
      </c>
      <c r="O29" s="252" t="s">
        <v>24</v>
      </c>
      <c r="P29" s="319" t="s">
        <v>977</v>
      </c>
      <c r="R29" s="259" t="s">
        <v>2246</v>
      </c>
      <c r="S29" s="259"/>
      <c r="T29" s="252" t="s">
        <v>995</v>
      </c>
      <c r="U29" s="259" t="s">
        <v>902</v>
      </c>
      <c r="V29" s="260">
        <v>-0.56200000000000006</v>
      </c>
      <c r="W29" s="259">
        <v>-1</v>
      </c>
      <c r="X29" s="261">
        <v>1</v>
      </c>
      <c r="Y29" s="257">
        <f t="shared" si="2"/>
        <v>0.56200000000000006</v>
      </c>
      <c r="Z29" s="397"/>
      <c r="AA29" s="397"/>
      <c r="AB29" s="324"/>
      <c r="AC29" s="266"/>
    </row>
    <row r="30" spans="1:35" ht="19" customHeight="1">
      <c r="A30" s="252" t="s">
        <v>1144</v>
      </c>
      <c r="B30" s="252" t="s">
        <v>1614</v>
      </c>
      <c r="C30" s="252">
        <v>2005</v>
      </c>
      <c r="E30" s="267">
        <v>42</v>
      </c>
      <c r="F30" s="252">
        <v>17.8</v>
      </c>
      <c r="G30" s="252">
        <v>2.7</v>
      </c>
      <c r="H30" s="136" t="s">
        <v>749</v>
      </c>
      <c r="I30" s="259" t="s">
        <v>924</v>
      </c>
      <c r="L30" s="328" t="s">
        <v>711</v>
      </c>
      <c r="M30" s="252">
        <v>906</v>
      </c>
      <c r="N30" s="252">
        <v>396</v>
      </c>
      <c r="O30" s="252" t="s">
        <v>24</v>
      </c>
      <c r="P30" s="319" t="s">
        <v>977</v>
      </c>
      <c r="Q30" s="259"/>
      <c r="R30" s="259" t="s">
        <v>2246</v>
      </c>
      <c r="S30" s="259"/>
      <c r="T30" s="252" t="s">
        <v>903</v>
      </c>
      <c r="U30" s="259" t="s">
        <v>902</v>
      </c>
      <c r="V30" s="260">
        <v>0.24099999999999999</v>
      </c>
      <c r="W30" s="252">
        <v>1</v>
      </c>
      <c r="X30" s="261">
        <v>1</v>
      </c>
      <c r="Y30" s="257">
        <f t="shared" si="2"/>
        <v>0.24099999999999999</v>
      </c>
      <c r="Z30" s="397"/>
      <c r="AA30" s="397"/>
      <c r="AB30" s="324"/>
      <c r="AC30" s="266"/>
    </row>
    <row r="31" spans="1:35" ht="19" customHeight="1">
      <c r="A31" s="252" t="s">
        <v>1144</v>
      </c>
      <c r="B31" s="276" t="s">
        <v>1765</v>
      </c>
      <c r="C31" s="272">
        <v>2014</v>
      </c>
      <c r="D31" s="272" t="s">
        <v>250</v>
      </c>
      <c r="E31" s="267">
        <v>17</v>
      </c>
      <c r="F31" s="272">
        <v>14.9</v>
      </c>
      <c r="G31" s="272">
        <v>3.28</v>
      </c>
      <c r="H31" s="276" t="s">
        <v>1775</v>
      </c>
      <c r="I31" s="272" t="s">
        <v>1767</v>
      </c>
      <c r="J31" s="272"/>
      <c r="K31" s="272" t="s">
        <v>1591</v>
      </c>
      <c r="L31" s="328" t="s">
        <v>711</v>
      </c>
      <c r="M31" s="272">
        <v>697</v>
      </c>
      <c r="N31" s="272">
        <v>279</v>
      </c>
      <c r="O31" s="272" t="s">
        <v>1769</v>
      </c>
      <c r="P31" s="319" t="s">
        <v>977</v>
      </c>
      <c r="R31" s="272" t="s">
        <v>1207</v>
      </c>
      <c r="S31" s="275" t="s">
        <v>1778</v>
      </c>
      <c r="T31" s="272"/>
      <c r="U31" s="272" t="s">
        <v>1779</v>
      </c>
      <c r="V31" s="272">
        <v>0.16600000000000001</v>
      </c>
      <c r="W31" s="259">
        <v>1</v>
      </c>
      <c r="X31" s="277">
        <v>0</v>
      </c>
      <c r="Y31" s="278">
        <f t="shared" si="2"/>
        <v>0.16600000000000001</v>
      </c>
      <c r="Z31" s="397"/>
      <c r="AA31" s="397"/>
      <c r="AB31" s="324" t="s">
        <v>2306</v>
      </c>
      <c r="AC31" s="266"/>
      <c r="AE31" s="269"/>
      <c r="AF31" s="269"/>
      <c r="AG31" s="269"/>
      <c r="AH31" s="259"/>
      <c r="AI31" s="259"/>
    </row>
    <row r="32" spans="1:35" ht="22" customHeight="1">
      <c r="A32" s="252" t="s">
        <v>1144</v>
      </c>
      <c r="B32" s="276" t="s">
        <v>1765</v>
      </c>
      <c r="C32" s="272">
        <v>2014</v>
      </c>
      <c r="D32" s="272" t="s">
        <v>250</v>
      </c>
      <c r="E32" s="267">
        <v>17</v>
      </c>
      <c r="F32" s="272">
        <v>14.9</v>
      </c>
      <c r="G32" s="272">
        <v>3.28</v>
      </c>
      <c r="H32" s="276" t="s">
        <v>1775</v>
      </c>
      <c r="I32" s="272" t="s">
        <v>1767</v>
      </c>
      <c r="J32" s="272"/>
      <c r="K32" s="272" t="s">
        <v>1591</v>
      </c>
      <c r="L32" s="328" t="s">
        <v>711</v>
      </c>
      <c r="M32" s="272">
        <v>697</v>
      </c>
      <c r="N32" s="272">
        <v>279</v>
      </c>
      <c r="O32" s="272" t="s">
        <v>1769</v>
      </c>
      <c r="P32" s="319" t="s">
        <v>977</v>
      </c>
      <c r="R32" s="272" t="s">
        <v>1207</v>
      </c>
      <c r="S32" s="275" t="s">
        <v>1776</v>
      </c>
      <c r="T32" s="272"/>
      <c r="U32" s="272" t="s">
        <v>1777</v>
      </c>
      <c r="V32" s="272">
        <v>-0.13</v>
      </c>
      <c r="W32" s="259">
        <v>1</v>
      </c>
      <c r="X32" s="277">
        <v>0</v>
      </c>
      <c r="Y32" s="278">
        <f t="shared" si="2"/>
        <v>-0.13</v>
      </c>
      <c r="Z32" s="397"/>
      <c r="AA32" s="397"/>
      <c r="AB32" s="324" t="s">
        <v>2306</v>
      </c>
      <c r="AC32" s="266"/>
      <c r="AE32" s="269"/>
      <c r="AF32" s="269"/>
      <c r="AG32" s="269"/>
      <c r="AH32" s="259"/>
      <c r="AI32" s="259"/>
    </row>
    <row r="33" spans="1:35" ht="19" customHeight="1">
      <c r="A33" s="252" t="s">
        <v>1144</v>
      </c>
      <c r="B33" s="276" t="s">
        <v>1765</v>
      </c>
      <c r="C33" s="272">
        <v>2014</v>
      </c>
      <c r="D33" s="272" t="s">
        <v>250</v>
      </c>
      <c r="E33" s="267">
        <v>17</v>
      </c>
      <c r="F33" s="272">
        <v>14.9</v>
      </c>
      <c r="G33" s="272">
        <v>3.28</v>
      </c>
      <c r="H33" s="276" t="s">
        <v>1766</v>
      </c>
      <c r="I33" s="272" t="s">
        <v>1767</v>
      </c>
      <c r="J33" s="272"/>
      <c r="K33" s="272" t="s">
        <v>1591</v>
      </c>
      <c r="L33" s="328" t="s">
        <v>711</v>
      </c>
      <c r="M33" s="272">
        <v>697</v>
      </c>
      <c r="N33" s="272">
        <v>279</v>
      </c>
      <c r="O33" s="272" t="s">
        <v>1769</v>
      </c>
      <c r="P33" s="319" t="s">
        <v>977</v>
      </c>
      <c r="R33" s="272" t="s">
        <v>1207</v>
      </c>
      <c r="S33" s="275" t="s">
        <v>1770</v>
      </c>
      <c r="T33" s="272"/>
      <c r="U33" s="272" t="s">
        <v>1771</v>
      </c>
      <c r="V33" s="272">
        <v>-0.14399999999999999</v>
      </c>
      <c r="W33" s="259">
        <v>1</v>
      </c>
      <c r="X33" s="261">
        <v>1</v>
      </c>
      <c r="Y33" s="257">
        <f t="shared" si="2"/>
        <v>-0.14399999999999999</v>
      </c>
      <c r="Z33" s="397"/>
      <c r="AA33" s="397"/>
      <c r="AB33" s="324"/>
      <c r="AC33" s="266"/>
      <c r="AE33" s="269"/>
      <c r="AF33" s="269"/>
      <c r="AG33" s="269"/>
      <c r="AH33" s="259"/>
      <c r="AI33" s="259"/>
    </row>
    <row r="34" spans="1:35" ht="19" customHeight="1">
      <c r="A34" s="252" t="s">
        <v>1144</v>
      </c>
      <c r="B34" s="276" t="s">
        <v>1765</v>
      </c>
      <c r="C34" s="272">
        <v>2014</v>
      </c>
      <c r="D34" s="272" t="s">
        <v>250</v>
      </c>
      <c r="E34" s="267">
        <v>17</v>
      </c>
      <c r="F34" s="272">
        <v>14.9</v>
      </c>
      <c r="G34" s="272">
        <v>3.28</v>
      </c>
      <c r="H34" s="276" t="s">
        <v>1772</v>
      </c>
      <c r="I34" s="272" t="s">
        <v>1767</v>
      </c>
      <c r="J34" s="272"/>
      <c r="K34" s="272" t="s">
        <v>1591</v>
      </c>
      <c r="L34" s="328" t="s">
        <v>711</v>
      </c>
      <c r="M34" s="272">
        <v>697</v>
      </c>
      <c r="N34" s="272">
        <v>279</v>
      </c>
      <c r="O34" s="272" t="s">
        <v>1769</v>
      </c>
      <c r="P34" s="319" t="s">
        <v>977</v>
      </c>
      <c r="R34" s="272" t="s">
        <v>1207</v>
      </c>
      <c r="S34" s="275" t="s">
        <v>1773</v>
      </c>
      <c r="T34" s="272"/>
      <c r="U34" s="272" t="s">
        <v>1774</v>
      </c>
      <c r="V34" s="272">
        <v>0.13800000000000001</v>
      </c>
      <c r="W34" s="259">
        <v>1</v>
      </c>
      <c r="X34" s="261">
        <v>1</v>
      </c>
      <c r="Y34" s="257">
        <f t="shared" si="2"/>
        <v>0.13800000000000001</v>
      </c>
      <c r="Z34" s="397"/>
      <c r="AA34" s="397"/>
      <c r="AB34" s="324"/>
      <c r="AC34" s="266"/>
      <c r="AE34" s="269"/>
      <c r="AF34" s="269"/>
      <c r="AG34" s="269"/>
      <c r="AH34" s="259"/>
      <c r="AI34" s="259"/>
    </row>
    <row r="35" spans="1:35" ht="19" customHeight="1">
      <c r="A35" s="252" t="s">
        <v>1252</v>
      </c>
      <c r="B35" s="252" t="s">
        <v>1253</v>
      </c>
      <c r="C35" s="252">
        <v>2007</v>
      </c>
      <c r="E35" s="267">
        <v>15</v>
      </c>
      <c r="F35" s="252">
        <v>14.8</v>
      </c>
      <c r="G35" s="252">
        <v>3</v>
      </c>
      <c r="H35" s="270" t="s">
        <v>1229</v>
      </c>
      <c r="I35" s="259" t="s">
        <v>924</v>
      </c>
      <c r="L35" s="328" t="s">
        <v>711</v>
      </c>
      <c r="M35" s="259">
        <v>660</v>
      </c>
      <c r="N35" s="259">
        <f t="shared" ref="N35:N42" si="3">(1730-222)/4</f>
        <v>377</v>
      </c>
      <c r="O35" s="252" t="s">
        <v>1230</v>
      </c>
      <c r="P35" s="319" t="s">
        <v>977</v>
      </c>
      <c r="R35" s="252" t="s">
        <v>377</v>
      </c>
      <c r="T35" s="252" t="s">
        <v>1582</v>
      </c>
      <c r="U35" s="32" t="s">
        <v>1251</v>
      </c>
      <c r="V35" s="260">
        <v>0.17</v>
      </c>
      <c r="W35" s="252">
        <v>1</v>
      </c>
      <c r="X35" s="261">
        <v>1</v>
      </c>
      <c r="Y35" s="257">
        <f t="shared" si="2"/>
        <v>0.17</v>
      </c>
      <c r="Z35" s="397"/>
      <c r="AA35" s="397"/>
      <c r="AB35" s="324"/>
      <c r="AC35" s="266"/>
    </row>
    <row r="36" spans="1:35" ht="19" customHeight="1">
      <c r="A36" s="252" t="s">
        <v>1252</v>
      </c>
      <c r="B36" s="252" t="s">
        <v>1253</v>
      </c>
      <c r="C36" s="252">
        <v>2007</v>
      </c>
      <c r="E36" s="267">
        <v>15</v>
      </c>
      <c r="F36" s="252">
        <v>14.8</v>
      </c>
      <c r="G36" s="252">
        <v>3</v>
      </c>
      <c r="H36" s="270" t="s">
        <v>1229</v>
      </c>
      <c r="I36" s="259" t="s">
        <v>924</v>
      </c>
      <c r="L36" s="328" t="s">
        <v>711</v>
      </c>
      <c r="M36" s="259">
        <v>660</v>
      </c>
      <c r="N36" s="259">
        <f t="shared" si="3"/>
        <v>377</v>
      </c>
      <c r="O36" s="252" t="s">
        <v>1230</v>
      </c>
      <c r="P36" s="319" t="s">
        <v>977</v>
      </c>
      <c r="R36" s="252" t="s">
        <v>377</v>
      </c>
      <c r="T36" s="252" t="s">
        <v>1584</v>
      </c>
      <c r="U36" s="32" t="s">
        <v>1251</v>
      </c>
      <c r="V36" s="260">
        <v>0.41</v>
      </c>
      <c r="W36" s="252">
        <v>1</v>
      </c>
      <c r="X36" s="277">
        <v>0</v>
      </c>
      <c r="Y36" s="278">
        <f t="shared" si="2"/>
        <v>0.41</v>
      </c>
      <c r="Z36" s="397"/>
      <c r="AA36" s="397"/>
      <c r="AB36" s="324" t="s">
        <v>2306</v>
      </c>
      <c r="AC36" s="266"/>
    </row>
    <row r="37" spans="1:35" ht="19" customHeight="1">
      <c r="A37" s="252" t="s">
        <v>1252</v>
      </c>
      <c r="B37" s="252" t="s">
        <v>1253</v>
      </c>
      <c r="C37" s="252">
        <v>2007</v>
      </c>
      <c r="E37" s="267">
        <v>15</v>
      </c>
      <c r="F37" s="252">
        <v>14.8</v>
      </c>
      <c r="G37" s="252">
        <v>3</v>
      </c>
      <c r="H37" s="270" t="s">
        <v>1229</v>
      </c>
      <c r="I37" s="259" t="s">
        <v>924</v>
      </c>
      <c r="L37" s="328" t="s">
        <v>711</v>
      </c>
      <c r="M37" s="259">
        <v>660</v>
      </c>
      <c r="N37" s="259">
        <f t="shared" si="3"/>
        <v>377</v>
      </c>
      <c r="O37" s="252" t="s">
        <v>1230</v>
      </c>
      <c r="P37" s="319" t="s">
        <v>977</v>
      </c>
      <c r="R37" s="252" t="s">
        <v>377</v>
      </c>
      <c r="T37" s="252" t="s">
        <v>1583</v>
      </c>
      <c r="U37" s="32" t="s">
        <v>1251</v>
      </c>
      <c r="V37" s="260">
        <v>0.17</v>
      </c>
      <c r="W37" s="252">
        <v>1</v>
      </c>
      <c r="X37" s="277">
        <v>0</v>
      </c>
      <c r="Y37" s="278">
        <f t="shared" si="2"/>
        <v>0.17</v>
      </c>
      <c r="Z37" s="397"/>
      <c r="AA37" s="397"/>
      <c r="AB37" s="324" t="s">
        <v>2306</v>
      </c>
      <c r="AC37" s="266"/>
    </row>
    <row r="38" spans="1:35" ht="19.5" customHeight="1">
      <c r="A38" s="252" t="s">
        <v>1252</v>
      </c>
      <c r="B38" s="252" t="s">
        <v>1253</v>
      </c>
      <c r="C38" s="252">
        <v>2007</v>
      </c>
      <c r="E38" s="267">
        <v>15</v>
      </c>
      <c r="F38" s="252">
        <v>14.8</v>
      </c>
      <c r="G38" s="252">
        <v>3</v>
      </c>
      <c r="H38" s="270" t="s">
        <v>1229</v>
      </c>
      <c r="I38" s="259" t="s">
        <v>924</v>
      </c>
      <c r="L38" s="328" t="s">
        <v>711</v>
      </c>
      <c r="M38" s="259">
        <v>660</v>
      </c>
      <c r="N38" s="259">
        <f t="shared" si="3"/>
        <v>377</v>
      </c>
      <c r="O38" s="252" t="s">
        <v>1230</v>
      </c>
      <c r="P38" s="319" t="s">
        <v>977</v>
      </c>
      <c r="R38" s="259" t="s">
        <v>1587</v>
      </c>
      <c r="S38" s="259" t="s">
        <v>1586</v>
      </c>
      <c r="T38" s="252" t="s">
        <v>1429</v>
      </c>
      <c r="U38" s="32" t="s">
        <v>1251</v>
      </c>
      <c r="V38" s="260">
        <v>-0.43</v>
      </c>
      <c r="W38" s="259">
        <v>-1</v>
      </c>
      <c r="X38" s="261">
        <v>1</v>
      </c>
      <c r="Y38" s="257">
        <f t="shared" si="2"/>
        <v>0.43</v>
      </c>
      <c r="Z38" s="397"/>
      <c r="AA38" s="397"/>
      <c r="AB38" s="324"/>
      <c r="AC38" s="266"/>
    </row>
    <row r="39" spans="1:35" ht="19" customHeight="1">
      <c r="A39" s="252" t="s">
        <v>1252</v>
      </c>
      <c r="B39" s="252" t="s">
        <v>1253</v>
      </c>
      <c r="C39" s="252">
        <v>2007</v>
      </c>
      <c r="E39" s="267">
        <v>15</v>
      </c>
      <c r="F39" s="252">
        <v>14.8</v>
      </c>
      <c r="G39" s="252">
        <v>3</v>
      </c>
      <c r="H39" s="270" t="s">
        <v>1229</v>
      </c>
      <c r="I39" s="259" t="s">
        <v>924</v>
      </c>
      <c r="L39" s="328" t="s">
        <v>711</v>
      </c>
      <c r="M39" s="259">
        <v>660</v>
      </c>
      <c r="N39" s="259">
        <f t="shared" si="3"/>
        <v>377</v>
      </c>
      <c r="O39" s="252" t="s">
        <v>1230</v>
      </c>
      <c r="P39" s="319" t="s">
        <v>977</v>
      </c>
      <c r="R39" s="259" t="s">
        <v>1587</v>
      </c>
      <c r="S39" s="259" t="s">
        <v>1586</v>
      </c>
      <c r="T39" s="252" t="s">
        <v>887</v>
      </c>
      <c r="U39" s="32" t="s">
        <v>1251</v>
      </c>
      <c r="V39" s="260">
        <v>0.05</v>
      </c>
      <c r="W39" s="252">
        <v>1</v>
      </c>
      <c r="X39" s="261">
        <v>1</v>
      </c>
      <c r="Y39" s="257">
        <f t="shared" si="2"/>
        <v>0.05</v>
      </c>
      <c r="Z39" s="397"/>
      <c r="AA39" s="397"/>
      <c r="AB39" s="324"/>
      <c r="AC39" s="266"/>
    </row>
    <row r="40" spans="1:35" ht="19" customHeight="1">
      <c r="A40" s="252" t="s">
        <v>1252</v>
      </c>
      <c r="B40" s="252" t="s">
        <v>1253</v>
      </c>
      <c r="C40" s="252">
        <v>2007</v>
      </c>
      <c r="E40" s="267">
        <v>15</v>
      </c>
      <c r="F40" s="252">
        <v>14.8</v>
      </c>
      <c r="G40" s="252">
        <v>3</v>
      </c>
      <c r="H40" s="270" t="s">
        <v>1229</v>
      </c>
      <c r="I40" s="259" t="s">
        <v>924</v>
      </c>
      <c r="L40" s="328" t="s">
        <v>711</v>
      </c>
      <c r="M40" s="259">
        <v>660</v>
      </c>
      <c r="N40" s="259">
        <f t="shared" si="3"/>
        <v>377</v>
      </c>
      <c r="O40" s="252" t="s">
        <v>1230</v>
      </c>
      <c r="P40" s="319" t="s">
        <v>977</v>
      </c>
      <c r="R40" s="259" t="s">
        <v>1587</v>
      </c>
      <c r="S40" s="259" t="s">
        <v>1586</v>
      </c>
      <c r="T40" s="252" t="s">
        <v>1448</v>
      </c>
      <c r="U40" s="32" t="s">
        <v>1251</v>
      </c>
      <c r="V40" s="260">
        <v>-0.19</v>
      </c>
      <c r="W40" s="259">
        <v>-1</v>
      </c>
      <c r="X40" s="277">
        <v>0</v>
      </c>
      <c r="Y40" s="278">
        <f t="shared" si="2"/>
        <v>0.19</v>
      </c>
      <c r="Z40" s="397"/>
      <c r="AA40" s="397"/>
      <c r="AB40" s="324" t="s">
        <v>2306</v>
      </c>
      <c r="AC40" s="266"/>
    </row>
    <row r="41" spans="1:35" ht="19" customHeight="1">
      <c r="A41" s="252" t="s">
        <v>1252</v>
      </c>
      <c r="B41" s="252" t="s">
        <v>1253</v>
      </c>
      <c r="C41" s="252">
        <v>2007</v>
      </c>
      <c r="E41" s="267">
        <v>15</v>
      </c>
      <c r="F41" s="252">
        <v>14.8</v>
      </c>
      <c r="G41" s="252">
        <v>3</v>
      </c>
      <c r="H41" s="270" t="s">
        <v>1229</v>
      </c>
      <c r="I41" s="259" t="s">
        <v>924</v>
      </c>
      <c r="L41" s="328" t="s">
        <v>711</v>
      </c>
      <c r="M41" s="259">
        <v>660</v>
      </c>
      <c r="N41" s="259">
        <f t="shared" si="3"/>
        <v>377</v>
      </c>
      <c r="O41" s="252" t="s">
        <v>1230</v>
      </c>
      <c r="P41" s="319" t="s">
        <v>977</v>
      </c>
      <c r="R41" s="259" t="s">
        <v>1587</v>
      </c>
      <c r="S41" s="259" t="s">
        <v>1586</v>
      </c>
      <c r="T41" s="252" t="s">
        <v>1449</v>
      </c>
      <c r="U41" s="32" t="s">
        <v>1251</v>
      </c>
      <c r="V41" s="260">
        <v>-0.54</v>
      </c>
      <c r="W41" s="259">
        <v>-1</v>
      </c>
      <c r="X41" s="277">
        <v>0</v>
      </c>
      <c r="Y41" s="278">
        <f t="shared" si="2"/>
        <v>0.54</v>
      </c>
      <c r="Z41" s="397"/>
      <c r="AA41" s="397"/>
      <c r="AB41" s="324" t="s">
        <v>2306</v>
      </c>
      <c r="AC41" s="266"/>
    </row>
    <row r="42" spans="1:35" ht="19" customHeight="1">
      <c r="A42" s="252" t="s">
        <v>1252</v>
      </c>
      <c r="B42" s="252" t="s">
        <v>1253</v>
      </c>
      <c r="C42" s="252">
        <v>2007</v>
      </c>
      <c r="E42" s="267">
        <v>15</v>
      </c>
      <c r="F42" s="252">
        <v>14.8</v>
      </c>
      <c r="G42" s="252">
        <v>3</v>
      </c>
      <c r="H42" s="270" t="s">
        <v>1229</v>
      </c>
      <c r="I42" s="259" t="s">
        <v>924</v>
      </c>
      <c r="L42" s="328" t="s">
        <v>711</v>
      </c>
      <c r="M42" s="259">
        <v>660</v>
      </c>
      <c r="N42" s="259">
        <f t="shared" si="3"/>
        <v>377</v>
      </c>
      <c r="O42" s="252" t="s">
        <v>1230</v>
      </c>
      <c r="P42" s="319" t="s">
        <v>977</v>
      </c>
      <c r="R42" s="252" t="s">
        <v>2276</v>
      </c>
      <c r="S42" s="252"/>
      <c r="T42" s="32" t="s">
        <v>2279</v>
      </c>
      <c r="U42" s="32" t="s">
        <v>1251</v>
      </c>
      <c r="V42" s="260">
        <v>0.09</v>
      </c>
      <c r="W42" s="252">
        <v>1</v>
      </c>
      <c r="X42" s="261">
        <v>1</v>
      </c>
      <c r="Y42" s="257">
        <f t="shared" si="2"/>
        <v>0.09</v>
      </c>
      <c r="Z42" s="397"/>
      <c r="AA42" s="397"/>
      <c r="AB42" s="322">
        <f>AVERAGE(Y42,Y38:Y39,Y33:Y35,Y27:Y30)</f>
        <v>0.25080000000000002</v>
      </c>
      <c r="AC42" s="266"/>
    </row>
    <row r="43" spans="1:35" ht="19" customHeight="1">
      <c r="H43" s="270"/>
      <c r="I43" s="259"/>
      <c r="L43" s="328"/>
      <c r="M43" s="259"/>
      <c r="N43" s="259"/>
      <c r="S43" s="252"/>
      <c r="T43" s="32"/>
      <c r="U43" s="32"/>
      <c r="X43" s="261"/>
      <c r="Y43" s="257"/>
      <c r="Z43" s="397">
        <f>AVERAGE(M42,M38:M39,M33:M35,M27:M30)</f>
        <v>688.33448399999997</v>
      </c>
      <c r="AA43" s="397">
        <f>AVERAGE(N42,N38:N39,N33:N35,N27:N30)</f>
        <v>350.33256799999998</v>
      </c>
      <c r="AC43" s="266"/>
    </row>
    <row r="44" spans="1:35" ht="19" customHeight="1">
      <c r="A44" s="252" t="s">
        <v>925</v>
      </c>
      <c r="B44" s="259" t="s">
        <v>989</v>
      </c>
      <c r="C44" s="259">
        <v>2020</v>
      </c>
      <c r="D44" s="259"/>
      <c r="E44" s="382">
        <v>16</v>
      </c>
      <c r="F44" s="259">
        <v>25.8</v>
      </c>
      <c r="G44" s="259" t="s">
        <v>990</v>
      </c>
      <c r="H44" s="259"/>
      <c r="I44" s="259" t="s">
        <v>924</v>
      </c>
      <c r="J44" s="32"/>
      <c r="K44" s="259" t="s">
        <v>991</v>
      </c>
      <c r="L44" s="328" t="s">
        <v>934</v>
      </c>
      <c r="M44" s="259">
        <v>926</v>
      </c>
      <c r="N44" s="259">
        <v>430</v>
      </c>
      <c r="O44" s="259" t="s">
        <v>24</v>
      </c>
      <c r="P44" s="245" t="s">
        <v>1367</v>
      </c>
      <c r="Q44" s="259" t="s">
        <v>207</v>
      </c>
      <c r="R44" s="32" t="s">
        <v>1452</v>
      </c>
      <c r="T44" s="252" t="s">
        <v>1450</v>
      </c>
      <c r="U44" s="259"/>
      <c r="V44" s="264">
        <v>0.08</v>
      </c>
      <c r="W44" s="259">
        <v>1</v>
      </c>
      <c r="X44" s="261">
        <v>1</v>
      </c>
      <c r="Y44" s="257">
        <f t="shared" ref="Y44:Y50" si="4">V44*W44</f>
        <v>0.08</v>
      </c>
      <c r="Z44" s="397"/>
      <c r="AA44" s="397"/>
      <c r="AB44" s="324"/>
      <c r="AC44" s="266"/>
      <c r="AD44" s="328" t="s">
        <v>950</v>
      </c>
      <c r="AE44" s="259"/>
      <c r="AF44" s="259"/>
      <c r="AG44" s="259"/>
      <c r="AH44" s="245"/>
      <c r="AI44" s="245"/>
    </row>
    <row r="45" spans="1:35" ht="19" customHeight="1">
      <c r="A45" s="252" t="s">
        <v>925</v>
      </c>
      <c r="B45" s="259" t="s">
        <v>989</v>
      </c>
      <c r="C45" s="259">
        <v>2020</v>
      </c>
      <c r="D45" s="259"/>
      <c r="E45" s="382">
        <v>16</v>
      </c>
      <c r="F45" s="259">
        <v>25.8</v>
      </c>
      <c r="G45" s="259" t="s">
        <v>990</v>
      </c>
      <c r="H45" s="259"/>
      <c r="I45" s="259" t="s">
        <v>924</v>
      </c>
      <c r="J45" s="32"/>
      <c r="K45" s="259" t="s">
        <v>991</v>
      </c>
      <c r="L45" s="328" t="s">
        <v>934</v>
      </c>
      <c r="M45" s="259">
        <v>926</v>
      </c>
      <c r="N45" s="259">
        <v>430</v>
      </c>
      <c r="O45" s="259" t="s">
        <v>24</v>
      </c>
      <c r="P45" s="245" t="s">
        <v>1367</v>
      </c>
      <c r="Q45" s="259" t="s">
        <v>206</v>
      </c>
      <c r="R45" s="32" t="s">
        <v>1452</v>
      </c>
      <c r="T45" s="259" t="s">
        <v>1320</v>
      </c>
      <c r="U45" s="259"/>
      <c r="V45" s="264">
        <v>-0.14000000000000001</v>
      </c>
      <c r="W45" s="259">
        <v>1</v>
      </c>
      <c r="X45" s="261">
        <v>1</v>
      </c>
      <c r="Y45" s="257">
        <f t="shared" si="4"/>
        <v>-0.14000000000000001</v>
      </c>
      <c r="Z45" s="397"/>
      <c r="AA45" s="397"/>
      <c r="AB45" s="324"/>
      <c r="AC45" s="266"/>
      <c r="AD45" s="328" t="s">
        <v>950</v>
      </c>
      <c r="AE45" s="259"/>
      <c r="AF45" s="259"/>
      <c r="AG45" s="259"/>
      <c r="AH45" s="245"/>
      <c r="AI45" s="245"/>
    </row>
    <row r="46" spans="1:35" ht="19" customHeight="1">
      <c r="A46" s="252" t="s">
        <v>925</v>
      </c>
      <c r="B46" s="259" t="s">
        <v>1609</v>
      </c>
      <c r="C46" s="259">
        <v>2017</v>
      </c>
      <c r="D46" s="259"/>
      <c r="E46" s="382">
        <v>37</v>
      </c>
      <c r="F46" s="259">
        <v>27.5</v>
      </c>
      <c r="G46" s="259">
        <v>7.3</v>
      </c>
      <c r="H46" s="259"/>
      <c r="I46" s="259" t="s">
        <v>924</v>
      </c>
      <c r="J46" s="32"/>
      <c r="K46" s="259" t="s">
        <v>938</v>
      </c>
      <c r="L46" s="328" t="s">
        <v>711</v>
      </c>
      <c r="M46" s="259">
        <v>822</v>
      </c>
      <c r="N46" s="259">
        <v>324</v>
      </c>
      <c r="O46" s="259" t="s">
        <v>1475</v>
      </c>
      <c r="P46" s="245" t="s">
        <v>1367</v>
      </c>
      <c r="Q46" s="259" t="s">
        <v>207</v>
      </c>
      <c r="R46" s="32" t="s">
        <v>204</v>
      </c>
      <c r="T46" s="259" t="s">
        <v>1215</v>
      </c>
      <c r="U46" s="259" t="s">
        <v>1453</v>
      </c>
      <c r="V46" s="264">
        <v>0.25</v>
      </c>
      <c r="W46" s="259">
        <v>1</v>
      </c>
      <c r="X46" s="261">
        <v>1</v>
      </c>
      <c r="Y46" s="257">
        <f t="shared" si="4"/>
        <v>0.25</v>
      </c>
      <c r="Z46" s="397"/>
      <c r="AA46" s="397"/>
      <c r="AB46" s="324"/>
      <c r="AC46" s="266"/>
      <c r="AD46" s="328"/>
      <c r="AE46" s="259"/>
      <c r="AF46" s="259"/>
      <c r="AG46" s="259"/>
      <c r="AH46" s="259"/>
      <c r="AI46" s="259"/>
    </row>
    <row r="47" spans="1:35" ht="19" customHeight="1">
      <c r="A47" s="252" t="s">
        <v>925</v>
      </c>
      <c r="B47" s="259" t="s">
        <v>1609</v>
      </c>
      <c r="C47" s="259">
        <v>2017</v>
      </c>
      <c r="D47" s="259"/>
      <c r="E47" s="382">
        <v>37</v>
      </c>
      <c r="F47" s="259">
        <v>27.5</v>
      </c>
      <c r="G47" s="259">
        <v>7.3</v>
      </c>
      <c r="H47" s="259"/>
      <c r="I47" s="259" t="s">
        <v>924</v>
      </c>
      <c r="J47" s="32"/>
      <c r="K47" s="259" t="s">
        <v>938</v>
      </c>
      <c r="L47" s="328" t="s">
        <v>711</v>
      </c>
      <c r="M47" s="259">
        <v>822</v>
      </c>
      <c r="N47" s="259">
        <v>324</v>
      </c>
      <c r="O47" s="259" t="s">
        <v>1476</v>
      </c>
      <c r="P47" s="245" t="s">
        <v>1367</v>
      </c>
      <c r="Q47" s="259" t="s">
        <v>206</v>
      </c>
      <c r="R47" s="32" t="s">
        <v>204</v>
      </c>
      <c r="T47" s="259" t="s">
        <v>1320</v>
      </c>
      <c r="U47" s="259" t="s">
        <v>1453</v>
      </c>
      <c r="V47" s="264">
        <v>0.2</v>
      </c>
      <c r="W47" s="259">
        <v>1</v>
      </c>
      <c r="X47" s="261">
        <v>1</v>
      </c>
      <c r="Y47" s="257">
        <f t="shared" si="4"/>
        <v>0.2</v>
      </c>
      <c r="Z47" s="397"/>
      <c r="AA47" s="397"/>
      <c r="AB47" s="337"/>
      <c r="AC47" s="252"/>
      <c r="AD47" s="328"/>
      <c r="AE47" s="259"/>
      <c r="AF47" s="259"/>
      <c r="AG47" s="259"/>
      <c r="AH47" s="259"/>
      <c r="AI47" s="259"/>
    </row>
    <row r="48" spans="1:35" ht="19" customHeight="1">
      <c r="A48" s="252" t="s">
        <v>932</v>
      </c>
      <c r="B48" s="252" t="s">
        <v>1002</v>
      </c>
      <c r="C48" s="252">
        <v>2007</v>
      </c>
      <c r="D48" s="252" t="s">
        <v>1003</v>
      </c>
      <c r="E48" s="267">
        <v>25</v>
      </c>
      <c r="F48" s="252">
        <v>27.48</v>
      </c>
      <c r="G48" s="252">
        <v>4.55</v>
      </c>
      <c r="I48" s="259" t="s">
        <v>924</v>
      </c>
      <c r="L48" s="328" t="s">
        <v>711</v>
      </c>
      <c r="M48" s="252">
        <v>1258.68</v>
      </c>
      <c r="N48" s="252">
        <v>197.83</v>
      </c>
      <c r="O48" s="252" t="s">
        <v>1004</v>
      </c>
      <c r="P48" s="245" t="s">
        <v>1367</v>
      </c>
      <c r="Q48" s="259" t="s">
        <v>206</v>
      </c>
      <c r="R48" s="252" t="s">
        <v>2263</v>
      </c>
      <c r="T48" s="252" t="s">
        <v>1451</v>
      </c>
      <c r="V48" s="260">
        <v>0.38</v>
      </c>
      <c r="W48" s="252">
        <v>1</v>
      </c>
      <c r="X48" s="261">
        <v>1</v>
      </c>
      <c r="Y48" s="257">
        <f t="shared" si="4"/>
        <v>0.38</v>
      </c>
      <c r="Z48" s="397"/>
      <c r="AA48" s="397"/>
      <c r="AB48" s="324"/>
      <c r="AC48" s="266"/>
      <c r="AD48" s="331"/>
      <c r="AE48" s="260"/>
      <c r="AF48" s="260"/>
      <c r="AG48" s="260"/>
    </row>
    <row r="49" spans="1:37" ht="19" customHeight="1">
      <c r="A49" s="252" t="s">
        <v>932</v>
      </c>
      <c r="B49" s="252" t="s">
        <v>1002</v>
      </c>
      <c r="C49" s="252">
        <v>2007</v>
      </c>
      <c r="D49" s="252" t="s">
        <v>1005</v>
      </c>
      <c r="E49" s="267">
        <v>25</v>
      </c>
      <c r="F49" s="252">
        <v>26.68</v>
      </c>
      <c r="G49" s="252">
        <v>4.92</v>
      </c>
      <c r="L49" s="328" t="s">
        <v>711</v>
      </c>
      <c r="M49" s="252">
        <v>758.79</v>
      </c>
      <c r="N49" s="252">
        <v>261.27</v>
      </c>
      <c r="O49" s="252" t="s">
        <v>1006</v>
      </c>
      <c r="P49" s="245" t="s">
        <v>1367</v>
      </c>
      <c r="Q49" s="259" t="s">
        <v>206</v>
      </c>
      <c r="R49" s="252" t="s">
        <v>2263</v>
      </c>
      <c r="T49" s="252" t="s">
        <v>1451</v>
      </c>
      <c r="V49" s="260">
        <v>-0.24</v>
      </c>
      <c r="W49" s="252">
        <v>1</v>
      </c>
      <c r="X49" s="261">
        <v>1</v>
      </c>
      <c r="Y49" s="257">
        <f t="shared" si="4"/>
        <v>-0.24</v>
      </c>
      <c r="Z49" s="397"/>
      <c r="AA49" s="397"/>
      <c r="AB49" s="324"/>
      <c r="AC49" s="266"/>
    </row>
    <row r="50" spans="1:37" ht="19" customHeight="1">
      <c r="A50" s="252" t="s">
        <v>932</v>
      </c>
      <c r="B50" s="252" t="s">
        <v>933</v>
      </c>
      <c r="C50" s="252">
        <v>2023</v>
      </c>
      <c r="E50" s="267">
        <v>40</v>
      </c>
      <c r="F50" s="252">
        <v>26.4</v>
      </c>
      <c r="G50" s="252">
        <v>5.5</v>
      </c>
      <c r="I50" s="259" t="s">
        <v>924</v>
      </c>
      <c r="L50" s="323" t="s">
        <v>934</v>
      </c>
      <c r="M50" s="252">
        <v>589</v>
      </c>
      <c r="N50" s="252">
        <v>444</v>
      </c>
      <c r="O50" s="252" t="s">
        <v>1007</v>
      </c>
      <c r="P50" s="245" t="s">
        <v>1367</v>
      </c>
      <c r="Q50" s="259" t="s">
        <v>207</v>
      </c>
      <c r="R50" s="252" t="s">
        <v>2263</v>
      </c>
      <c r="T50" s="252" t="s">
        <v>961</v>
      </c>
      <c r="U50" s="252" t="s">
        <v>936</v>
      </c>
      <c r="V50" s="260">
        <v>-0.36</v>
      </c>
      <c r="W50" s="252">
        <v>-1</v>
      </c>
      <c r="X50" s="261">
        <v>1</v>
      </c>
      <c r="Y50" s="257">
        <f t="shared" si="4"/>
        <v>0.36</v>
      </c>
      <c r="Z50" s="397"/>
      <c r="AA50" s="397"/>
      <c r="AB50" s="322">
        <f>AVERAGE(Y44:Y50)</f>
        <v>0.12714285714285714</v>
      </c>
      <c r="AC50" s="266"/>
    </row>
    <row r="51" spans="1:37" ht="19" customHeight="1">
      <c r="I51" s="259"/>
      <c r="P51" s="245"/>
      <c r="Q51" s="259"/>
      <c r="X51" s="261"/>
      <c r="Y51" s="257"/>
      <c r="Z51" s="397">
        <f>AVERAGE(M44:M50)</f>
        <v>871.78142857142859</v>
      </c>
      <c r="AA51" s="397">
        <f>AVERAGE(N44:N50)</f>
        <v>344.44285714285712</v>
      </c>
      <c r="AB51" s="324"/>
      <c r="AC51" s="266"/>
    </row>
    <row r="52" spans="1:37" ht="19" customHeight="1">
      <c r="A52" s="252" t="s">
        <v>1144</v>
      </c>
      <c r="B52" s="252" t="s">
        <v>1607</v>
      </c>
      <c r="C52" s="252">
        <v>2014</v>
      </c>
      <c r="D52" s="252" t="s">
        <v>939</v>
      </c>
      <c r="E52" s="267">
        <v>29</v>
      </c>
      <c r="F52" s="252">
        <f>(10+18)/2</f>
        <v>14</v>
      </c>
      <c r="G52" s="252">
        <f>(18-10)/4</f>
        <v>2</v>
      </c>
      <c r="H52" s="270" t="s">
        <v>763</v>
      </c>
      <c r="I52" s="259" t="s">
        <v>924</v>
      </c>
      <c r="L52" s="323" t="s">
        <v>940</v>
      </c>
      <c r="M52" s="252">
        <v>562.4</v>
      </c>
      <c r="N52" s="252">
        <v>290</v>
      </c>
      <c r="O52" s="252" t="s">
        <v>24</v>
      </c>
      <c r="P52" s="245" t="s">
        <v>1367</v>
      </c>
      <c r="Q52" s="259" t="s">
        <v>207</v>
      </c>
      <c r="R52" s="32" t="s">
        <v>1452</v>
      </c>
      <c r="T52" s="252" t="s">
        <v>1215</v>
      </c>
      <c r="V52" s="260">
        <v>0.49</v>
      </c>
      <c r="W52" s="252">
        <v>1</v>
      </c>
      <c r="X52" s="261">
        <v>1</v>
      </c>
      <c r="Y52" s="257">
        <f t="shared" ref="Y52:Y60" si="5">V52*W52</f>
        <v>0.49</v>
      </c>
      <c r="Z52" s="397"/>
      <c r="AA52" s="397"/>
      <c r="AB52" s="324"/>
      <c r="AC52" s="266"/>
    </row>
    <row r="53" spans="1:37" ht="19" customHeight="1">
      <c r="A53" s="252" t="s">
        <v>1144</v>
      </c>
      <c r="B53" s="252" t="s">
        <v>1614</v>
      </c>
      <c r="C53" s="252">
        <v>2005</v>
      </c>
      <c r="E53" s="267">
        <v>42</v>
      </c>
      <c r="F53" s="252">
        <v>17.8</v>
      </c>
      <c r="G53" s="252">
        <v>2.7</v>
      </c>
      <c r="I53" s="259" t="s">
        <v>924</v>
      </c>
      <c r="L53" s="328" t="s">
        <v>711</v>
      </c>
      <c r="M53" s="252">
        <v>906</v>
      </c>
      <c r="N53" s="252">
        <v>396</v>
      </c>
      <c r="O53" s="252" t="s">
        <v>731</v>
      </c>
      <c r="P53" s="245" t="s">
        <v>1367</v>
      </c>
      <c r="Q53" s="259" t="s">
        <v>206</v>
      </c>
      <c r="R53" s="32" t="s">
        <v>204</v>
      </c>
      <c r="T53" s="32" t="s">
        <v>1320</v>
      </c>
      <c r="U53" s="252" t="s">
        <v>1454</v>
      </c>
      <c r="V53" s="260">
        <v>3.5999999999999997E-2</v>
      </c>
      <c r="W53" s="252">
        <v>1</v>
      </c>
      <c r="X53" s="261">
        <v>1</v>
      </c>
      <c r="Y53" s="257">
        <f t="shared" si="5"/>
        <v>3.5999999999999997E-2</v>
      </c>
      <c r="Z53" s="397"/>
      <c r="AA53" s="397"/>
      <c r="AB53" s="324"/>
      <c r="AC53" s="266"/>
    </row>
    <row r="54" spans="1:37" ht="19" customHeight="1">
      <c r="A54" s="252" t="s">
        <v>1144</v>
      </c>
      <c r="B54" s="259" t="s">
        <v>1325</v>
      </c>
      <c r="C54" s="259">
        <v>1997</v>
      </c>
      <c r="D54" s="259"/>
      <c r="E54" s="382">
        <v>15</v>
      </c>
      <c r="F54" s="252">
        <v>12.13</v>
      </c>
      <c r="G54" s="252">
        <v>1.21</v>
      </c>
      <c r="H54" s="259"/>
      <c r="I54" s="259" t="s">
        <v>924</v>
      </c>
      <c r="J54" s="32"/>
      <c r="K54" s="259"/>
      <c r="L54" s="328" t="s">
        <v>711</v>
      </c>
      <c r="M54" s="252">
        <v>547</v>
      </c>
      <c r="N54" s="252">
        <v>270</v>
      </c>
      <c r="O54" s="252" t="s">
        <v>24</v>
      </c>
      <c r="P54" s="245" t="s">
        <v>1367</v>
      </c>
      <c r="Q54" s="259"/>
      <c r="R54" s="32" t="s">
        <v>204</v>
      </c>
      <c r="T54" s="32" t="s">
        <v>1046</v>
      </c>
      <c r="V54" s="260">
        <v>-0.11</v>
      </c>
      <c r="W54" s="252">
        <v>-1</v>
      </c>
      <c r="X54" s="261">
        <v>1</v>
      </c>
      <c r="Y54" s="257">
        <f t="shared" si="5"/>
        <v>0.11</v>
      </c>
      <c r="Z54" s="397"/>
      <c r="AA54" s="397"/>
      <c r="AB54" s="324"/>
      <c r="AC54" s="266"/>
      <c r="AJ54" s="279"/>
      <c r="AK54" s="279"/>
    </row>
    <row r="55" spans="1:37" ht="19" customHeight="1">
      <c r="A55" s="252" t="s">
        <v>1252</v>
      </c>
      <c r="B55" s="252" t="s">
        <v>1253</v>
      </c>
      <c r="C55" s="252">
        <v>2007</v>
      </c>
      <c r="E55" s="267">
        <v>15</v>
      </c>
      <c r="F55" s="252">
        <v>14.8</v>
      </c>
      <c r="G55" s="252">
        <v>3</v>
      </c>
      <c r="H55" s="270" t="s">
        <v>1229</v>
      </c>
      <c r="I55" s="259" t="s">
        <v>924</v>
      </c>
      <c r="L55" s="328" t="s">
        <v>711</v>
      </c>
      <c r="M55" s="259">
        <v>660</v>
      </c>
      <c r="N55" s="259">
        <f>(1730-222)/4</f>
        <v>377</v>
      </c>
      <c r="O55" s="252" t="s">
        <v>1230</v>
      </c>
      <c r="P55" s="245" t="s">
        <v>1367</v>
      </c>
      <c r="Q55" s="259" t="s">
        <v>206</v>
      </c>
      <c r="R55" s="32" t="s">
        <v>204</v>
      </c>
      <c r="S55" s="32" t="s">
        <v>1250</v>
      </c>
      <c r="T55" s="252" t="s">
        <v>1355</v>
      </c>
      <c r="U55" s="32" t="s">
        <v>1251</v>
      </c>
      <c r="V55" s="264">
        <v>0.17</v>
      </c>
      <c r="W55" s="252">
        <v>1</v>
      </c>
      <c r="X55" s="261">
        <v>1</v>
      </c>
      <c r="Y55" s="257">
        <f t="shared" si="5"/>
        <v>0.17</v>
      </c>
      <c r="Z55" s="397"/>
      <c r="AA55" s="397"/>
      <c r="AB55" s="324"/>
      <c r="AC55" s="266"/>
    </row>
    <row r="56" spans="1:37" ht="19" customHeight="1">
      <c r="A56" s="252" t="s">
        <v>1252</v>
      </c>
      <c r="B56" s="252" t="s">
        <v>1253</v>
      </c>
      <c r="C56" s="252">
        <v>2007</v>
      </c>
      <c r="E56" s="267">
        <v>15</v>
      </c>
      <c r="F56" s="252">
        <v>14.8</v>
      </c>
      <c r="G56" s="252">
        <v>3</v>
      </c>
      <c r="H56" s="270" t="s">
        <v>1229</v>
      </c>
      <c r="I56" s="259" t="s">
        <v>924</v>
      </c>
      <c r="L56" s="328" t="s">
        <v>711</v>
      </c>
      <c r="M56" s="259">
        <v>660</v>
      </c>
      <c r="N56" s="259">
        <f>(1730-222)/4</f>
        <v>377</v>
      </c>
      <c r="O56" s="252" t="s">
        <v>1230</v>
      </c>
      <c r="P56" s="245" t="s">
        <v>1367</v>
      </c>
      <c r="Q56" s="259" t="s">
        <v>207</v>
      </c>
      <c r="R56" s="32" t="s">
        <v>204</v>
      </c>
      <c r="S56" s="32" t="s">
        <v>1250</v>
      </c>
      <c r="T56" s="252" t="s">
        <v>1215</v>
      </c>
      <c r="U56" s="32" t="s">
        <v>1251</v>
      </c>
      <c r="V56" s="260">
        <v>0.24</v>
      </c>
      <c r="W56" s="252">
        <v>1</v>
      </c>
      <c r="X56" s="261">
        <v>1</v>
      </c>
      <c r="Y56" s="257">
        <f t="shared" si="5"/>
        <v>0.24</v>
      </c>
      <c r="Z56" s="397"/>
      <c r="AA56" s="397"/>
      <c r="AB56" s="324"/>
      <c r="AC56" s="266"/>
    </row>
    <row r="57" spans="1:37" ht="19" customHeight="1">
      <c r="A57" s="252" t="s">
        <v>1252</v>
      </c>
      <c r="B57" s="252" t="s">
        <v>1253</v>
      </c>
      <c r="C57" s="252">
        <v>2007</v>
      </c>
      <c r="E57" s="267">
        <v>15</v>
      </c>
      <c r="F57" s="252">
        <v>14.8</v>
      </c>
      <c r="G57" s="252">
        <v>3</v>
      </c>
      <c r="H57" s="270" t="s">
        <v>1229</v>
      </c>
      <c r="I57" s="259" t="s">
        <v>924</v>
      </c>
      <c r="L57" s="328" t="s">
        <v>711</v>
      </c>
      <c r="M57" s="259">
        <v>660</v>
      </c>
      <c r="N57" s="259">
        <f>(1730-222)/4</f>
        <v>377</v>
      </c>
      <c r="O57" s="252" t="s">
        <v>1230</v>
      </c>
      <c r="P57" s="245" t="s">
        <v>1367</v>
      </c>
      <c r="Q57" s="259" t="s">
        <v>206</v>
      </c>
      <c r="R57" s="32" t="s">
        <v>204</v>
      </c>
      <c r="S57" s="32" t="s">
        <v>1370</v>
      </c>
      <c r="T57" s="252" t="s">
        <v>1355</v>
      </c>
      <c r="U57" s="32" t="s">
        <v>1251</v>
      </c>
      <c r="V57" s="260">
        <v>0.43</v>
      </c>
      <c r="W57" s="252">
        <v>1</v>
      </c>
      <c r="X57" s="261">
        <v>1</v>
      </c>
      <c r="Y57" s="257">
        <f t="shared" si="5"/>
        <v>0.43</v>
      </c>
      <c r="Z57" s="397"/>
      <c r="AA57" s="397"/>
      <c r="AB57" s="324"/>
      <c r="AC57" s="266"/>
    </row>
    <row r="58" spans="1:37" ht="19" customHeight="1">
      <c r="A58" s="252" t="s">
        <v>1252</v>
      </c>
      <c r="B58" s="252" t="s">
        <v>1253</v>
      </c>
      <c r="C58" s="252">
        <v>2007</v>
      </c>
      <c r="E58" s="267">
        <v>15</v>
      </c>
      <c r="F58" s="252">
        <v>14.8</v>
      </c>
      <c r="G58" s="252">
        <v>3</v>
      </c>
      <c r="H58" s="270" t="s">
        <v>1229</v>
      </c>
      <c r="I58" s="259" t="s">
        <v>924</v>
      </c>
      <c r="L58" s="328" t="s">
        <v>711</v>
      </c>
      <c r="M58" s="259">
        <v>660</v>
      </c>
      <c r="N58" s="259">
        <f>(1730-222)/4</f>
        <v>377</v>
      </c>
      <c r="O58" s="252" t="s">
        <v>1230</v>
      </c>
      <c r="P58" s="245" t="s">
        <v>1367</v>
      </c>
      <c r="Q58" s="259" t="s">
        <v>207</v>
      </c>
      <c r="R58" s="32" t="s">
        <v>204</v>
      </c>
      <c r="S58" s="32" t="s">
        <v>1370</v>
      </c>
      <c r="T58" s="252" t="s">
        <v>1215</v>
      </c>
      <c r="U58" s="32" t="s">
        <v>1251</v>
      </c>
      <c r="V58" s="264">
        <v>0.22</v>
      </c>
      <c r="W58" s="252">
        <v>1</v>
      </c>
      <c r="X58" s="261">
        <v>1</v>
      </c>
      <c r="Y58" s="257">
        <f t="shared" si="5"/>
        <v>0.22</v>
      </c>
      <c r="Z58" s="397"/>
      <c r="AA58" s="397"/>
      <c r="AB58" s="324"/>
      <c r="AC58" s="266"/>
    </row>
    <row r="59" spans="1:37" ht="19" customHeight="1">
      <c r="A59" s="252" t="s">
        <v>932</v>
      </c>
      <c r="B59" s="252" t="s">
        <v>1002</v>
      </c>
      <c r="C59" s="252">
        <v>2007</v>
      </c>
      <c r="D59" s="252" t="s">
        <v>1003</v>
      </c>
      <c r="E59" s="267">
        <v>25</v>
      </c>
      <c r="F59" s="252">
        <v>27.48</v>
      </c>
      <c r="G59" s="252">
        <v>4.55</v>
      </c>
      <c r="L59" s="328" t="s">
        <v>711</v>
      </c>
      <c r="M59" s="252">
        <v>1258.68</v>
      </c>
      <c r="N59" s="252">
        <v>197.83</v>
      </c>
      <c r="O59" s="252" t="s">
        <v>1004</v>
      </c>
      <c r="P59" s="245" t="s">
        <v>2165</v>
      </c>
      <c r="Q59" s="259"/>
      <c r="R59" s="252" t="s">
        <v>2263</v>
      </c>
      <c r="T59" s="252" t="s">
        <v>2164</v>
      </c>
      <c r="V59" s="260">
        <v>0.44</v>
      </c>
      <c r="W59" s="252">
        <v>1</v>
      </c>
      <c r="X59" s="277">
        <v>0</v>
      </c>
      <c r="Y59" s="278">
        <f t="shared" si="5"/>
        <v>0.44</v>
      </c>
      <c r="Z59" s="397"/>
      <c r="AA59" s="397"/>
      <c r="AB59" s="324" t="s">
        <v>2308</v>
      </c>
      <c r="AC59" s="266"/>
    </row>
    <row r="60" spans="1:37" ht="19" customHeight="1">
      <c r="A60" s="252" t="s">
        <v>932</v>
      </c>
      <c r="B60" s="252" t="s">
        <v>1002</v>
      </c>
      <c r="C60" s="252">
        <v>2007</v>
      </c>
      <c r="D60" s="252" t="s">
        <v>1005</v>
      </c>
      <c r="E60" s="267">
        <v>25</v>
      </c>
      <c r="F60" s="252">
        <v>26.68</v>
      </c>
      <c r="G60" s="252">
        <v>4.92</v>
      </c>
      <c r="L60" s="328" t="s">
        <v>711</v>
      </c>
      <c r="M60" s="252">
        <v>758.79</v>
      </c>
      <c r="N60" s="252">
        <v>261.27</v>
      </c>
      <c r="O60" s="252" t="s">
        <v>1006</v>
      </c>
      <c r="P60" s="245" t="s">
        <v>2165</v>
      </c>
      <c r="Q60" s="259"/>
      <c r="R60" s="252" t="s">
        <v>2263</v>
      </c>
      <c r="T60" s="252" t="s">
        <v>2164</v>
      </c>
      <c r="V60" s="260">
        <v>-0.18</v>
      </c>
      <c r="W60" s="252">
        <v>1</v>
      </c>
      <c r="X60" s="277">
        <v>0</v>
      </c>
      <c r="Y60" s="278">
        <f t="shared" si="5"/>
        <v>-0.18</v>
      </c>
      <c r="Z60" s="397"/>
      <c r="AA60" s="397"/>
      <c r="AB60" s="324" t="s">
        <v>2308</v>
      </c>
      <c r="AC60" s="322"/>
    </row>
    <row r="61" spans="1:37" ht="19" customHeight="1">
      <c r="L61" s="328"/>
      <c r="P61" s="245"/>
      <c r="Q61" s="259"/>
      <c r="X61" s="261"/>
      <c r="Y61" s="257"/>
      <c r="Z61" s="397"/>
      <c r="AA61" s="397"/>
      <c r="AB61" s="322">
        <f>AVERAGE(Y52:Y58)</f>
        <v>0.24228571428571427</v>
      </c>
      <c r="AC61" s="266"/>
    </row>
    <row r="62" spans="1:37" ht="19" customHeight="1">
      <c r="A62" s="274" t="s">
        <v>925</v>
      </c>
      <c r="B62" s="274" t="s">
        <v>1749</v>
      </c>
      <c r="C62" s="252">
        <v>2015</v>
      </c>
      <c r="E62" s="267">
        <v>14</v>
      </c>
      <c r="F62" s="252">
        <v>24.97</v>
      </c>
      <c r="G62" s="252">
        <v>1.57</v>
      </c>
      <c r="H62" s="252" t="s">
        <v>1750</v>
      </c>
      <c r="I62" s="252" t="s">
        <v>1751</v>
      </c>
      <c r="K62" s="252" t="s">
        <v>1755</v>
      </c>
      <c r="L62" s="323" t="s">
        <v>1753</v>
      </c>
      <c r="M62" s="252">
        <v>727</v>
      </c>
      <c r="N62" s="252">
        <v>199</v>
      </c>
      <c r="O62" s="252" t="s">
        <v>1754</v>
      </c>
      <c r="P62" s="319" t="s">
        <v>1368</v>
      </c>
      <c r="R62" s="252" t="s">
        <v>1756</v>
      </c>
      <c r="U62" s="252" t="s">
        <v>185</v>
      </c>
      <c r="V62" s="252">
        <v>-0.214</v>
      </c>
      <c r="W62" s="252">
        <v>-1</v>
      </c>
      <c r="X62" s="261">
        <v>1</v>
      </c>
      <c r="Y62" s="257">
        <v>0.214</v>
      </c>
      <c r="Z62" s="397"/>
      <c r="AA62" s="397"/>
      <c r="AB62" s="324"/>
      <c r="AC62" s="266"/>
    </row>
    <row r="63" spans="1:37" ht="19" customHeight="1">
      <c r="A63" s="252" t="s">
        <v>925</v>
      </c>
      <c r="B63" s="259" t="s">
        <v>1609</v>
      </c>
      <c r="C63" s="259">
        <v>2017</v>
      </c>
      <c r="D63" s="259"/>
      <c r="E63" s="382">
        <v>37</v>
      </c>
      <c r="F63" s="259">
        <v>27.5</v>
      </c>
      <c r="G63" s="259">
        <v>7.3</v>
      </c>
      <c r="H63" s="259"/>
      <c r="I63" s="259" t="s">
        <v>924</v>
      </c>
      <c r="J63" s="32"/>
      <c r="K63" s="259" t="s">
        <v>938</v>
      </c>
      <c r="L63" s="328" t="s">
        <v>711</v>
      </c>
      <c r="M63" s="259">
        <v>822</v>
      </c>
      <c r="N63" s="259">
        <v>324</v>
      </c>
      <c r="O63" s="259" t="s">
        <v>1475</v>
      </c>
      <c r="P63" s="319" t="s">
        <v>1368</v>
      </c>
      <c r="R63" s="259" t="s">
        <v>969</v>
      </c>
      <c r="S63" s="259"/>
      <c r="T63" s="259" t="s">
        <v>651</v>
      </c>
      <c r="U63" s="259" t="s">
        <v>970</v>
      </c>
      <c r="V63" s="264">
        <v>0.33</v>
      </c>
      <c r="W63" s="259">
        <v>1</v>
      </c>
      <c r="X63" s="261">
        <v>1</v>
      </c>
      <c r="Y63" s="257">
        <f>V63*W63</f>
        <v>0.33</v>
      </c>
      <c r="Z63" s="397"/>
      <c r="AA63" s="397"/>
      <c r="AB63" s="324"/>
      <c r="AC63" s="266"/>
      <c r="AD63" s="328"/>
      <c r="AE63" s="259"/>
      <c r="AF63" s="259"/>
      <c r="AG63" s="259"/>
      <c r="AH63" s="259"/>
      <c r="AI63" s="259"/>
    </row>
    <row r="64" spans="1:37" ht="19" customHeight="1">
      <c r="A64" s="274" t="s">
        <v>925</v>
      </c>
      <c r="B64" s="274" t="s">
        <v>1749</v>
      </c>
      <c r="C64" s="252">
        <v>2015</v>
      </c>
      <c r="E64" s="267">
        <v>14</v>
      </c>
      <c r="F64" s="252">
        <v>24.97</v>
      </c>
      <c r="G64" s="252">
        <v>1.57</v>
      </c>
      <c r="H64" s="252" t="s">
        <v>1750</v>
      </c>
      <c r="I64" s="252" t="s">
        <v>1751</v>
      </c>
      <c r="K64" s="252" t="s">
        <v>1752</v>
      </c>
      <c r="L64" s="323" t="s">
        <v>1753</v>
      </c>
      <c r="M64" s="252">
        <v>727</v>
      </c>
      <c r="N64" s="252">
        <v>199</v>
      </c>
      <c r="O64" s="252" t="s">
        <v>1754</v>
      </c>
      <c r="P64" s="319" t="s">
        <v>1368</v>
      </c>
      <c r="R64" s="252" t="s">
        <v>1123</v>
      </c>
      <c r="T64" s="252" t="s">
        <v>185</v>
      </c>
      <c r="V64" s="252">
        <v>-0.70199999999999996</v>
      </c>
      <c r="W64" s="259">
        <v>-1</v>
      </c>
      <c r="X64" s="261">
        <v>1</v>
      </c>
      <c r="Y64" s="257">
        <v>0.70199999999999996</v>
      </c>
      <c r="Z64" s="397"/>
      <c r="AA64" s="397"/>
      <c r="AB64" s="323"/>
      <c r="AC64" s="266"/>
    </row>
    <row r="65" spans="1:37" ht="19" customHeight="1">
      <c r="A65" s="252" t="s">
        <v>925</v>
      </c>
      <c r="B65" s="259" t="s">
        <v>1608</v>
      </c>
      <c r="C65" s="259">
        <v>2018</v>
      </c>
      <c r="D65" s="259"/>
      <c r="E65" s="382">
        <v>33</v>
      </c>
      <c r="F65" s="259">
        <v>29.5</v>
      </c>
      <c r="G65" s="252">
        <f>(37-24)/4</f>
        <v>3.25</v>
      </c>
      <c r="H65" s="259" t="s">
        <v>956</v>
      </c>
      <c r="I65" s="259" t="s">
        <v>924</v>
      </c>
      <c r="J65" s="32"/>
      <c r="K65" s="259" t="s">
        <v>957</v>
      </c>
      <c r="L65" s="328" t="s">
        <v>711</v>
      </c>
      <c r="M65" s="259">
        <v>594.79999999999995</v>
      </c>
      <c r="N65" s="259">
        <v>278.5</v>
      </c>
      <c r="O65" s="259" t="s">
        <v>1976</v>
      </c>
      <c r="P65" s="319" t="s">
        <v>1368</v>
      </c>
      <c r="R65" s="252" t="s">
        <v>203</v>
      </c>
      <c r="S65" s="259" t="s">
        <v>1478</v>
      </c>
      <c r="T65" s="259" t="s">
        <v>1376</v>
      </c>
      <c r="U65" s="259" t="s">
        <v>958</v>
      </c>
      <c r="V65" s="264">
        <v>5.5000000000000049E-3</v>
      </c>
      <c r="W65" s="261">
        <v>1</v>
      </c>
      <c r="X65" s="277">
        <v>0</v>
      </c>
      <c r="Y65" s="278">
        <f>V65*W65</f>
        <v>5.5000000000000049E-3</v>
      </c>
      <c r="Z65" s="397"/>
      <c r="AA65" s="397"/>
      <c r="AB65" s="324" t="s">
        <v>2306</v>
      </c>
      <c r="AC65" s="266"/>
      <c r="AD65" s="328"/>
      <c r="AE65" s="259"/>
      <c r="AF65" s="259"/>
      <c r="AG65" s="259"/>
      <c r="AH65" s="245"/>
      <c r="AI65" s="245"/>
    </row>
    <row r="66" spans="1:37" ht="19" customHeight="1">
      <c r="A66" s="252" t="s">
        <v>925</v>
      </c>
      <c r="B66" s="259" t="s">
        <v>1608</v>
      </c>
      <c r="C66" s="259">
        <v>2018</v>
      </c>
      <c r="D66" s="259"/>
      <c r="E66" s="382">
        <v>33</v>
      </c>
      <c r="F66" s="259">
        <v>29.5</v>
      </c>
      <c r="G66" s="252">
        <f>(37-24)/4</f>
        <v>3.25</v>
      </c>
      <c r="H66" s="259" t="s">
        <v>956</v>
      </c>
      <c r="I66" s="259" t="s">
        <v>924</v>
      </c>
      <c r="J66" s="32"/>
      <c r="K66" s="259" t="s">
        <v>957</v>
      </c>
      <c r="L66" s="328" t="s">
        <v>711</v>
      </c>
      <c r="M66" s="259">
        <v>594.79999999999995</v>
      </c>
      <c r="N66" s="259">
        <v>278.5</v>
      </c>
      <c r="O66" s="259" t="s">
        <v>2287</v>
      </c>
      <c r="P66" s="319" t="s">
        <v>1368</v>
      </c>
      <c r="R66" s="252" t="s">
        <v>203</v>
      </c>
      <c r="S66" s="259" t="s">
        <v>1478</v>
      </c>
      <c r="T66" s="259" t="s">
        <v>1375</v>
      </c>
      <c r="U66" s="259" t="s">
        <v>958</v>
      </c>
      <c r="V66" s="264">
        <v>-7.2999999999999995E-2</v>
      </c>
      <c r="W66" s="261">
        <v>1</v>
      </c>
      <c r="X66" s="261">
        <v>1</v>
      </c>
      <c r="Y66" s="257">
        <f>V66*W66</f>
        <v>-7.2999999999999995E-2</v>
      </c>
      <c r="Z66" s="397"/>
      <c r="AA66" s="397"/>
      <c r="AB66" s="324"/>
      <c r="AC66" s="266"/>
      <c r="AD66" s="328"/>
      <c r="AE66" s="259"/>
      <c r="AF66" s="259"/>
      <c r="AG66" s="259"/>
      <c r="AH66" s="245"/>
      <c r="AI66" s="245"/>
    </row>
    <row r="67" spans="1:37" s="279" customFormat="1" ht="19" customHeight="1">
      <c r="A67" s="252" t="s">
        <v>925</v>
      </c>
      <c r="B67" s="259" t="s">
        <v>1608</v>
      </c>
      <c r="C67" s="259">
        <v>2018</v>
      </c>
      <c r="D67" s="259"/>
      <c r="E67" s="382">
        <v>33</v>
      </c>
      <c r="F67" s="259">
        <v>29.5</v>
      </c>
      <c r="G67" s="252">
        <f>(37-24)/4</f>
        <v>3.25</v>
      </c>
      <c r="H67" s="259" t="s">
        <v>956</v>
      </c>
      <c r="I67" s="259" t="s">
        <v>924</v>
      </c>
      <c r="J67" s="32"/>
      <c r="K67" s="259" t="s">
        <v>957</v>
      </c>
      <c r="L67" s="328" t="s">
        <v>711</v>
      </c>
      <c r="M67" s="259">
        <v>594.79999999999995</v>
      </c>
      <c r="N67" s="259">
        <v>278.5</v>
      </c>
      <c r="O67" s="259" t="s">
        <v>2288</v>
      </c>
      <c r="P67" s="319" t="s">
        <v>1368</v>
      </c>
      <c r="Q67" s="252"/>
      <c r="R67" s="252" t="s">
        <v>203</v>
      </c>
      <c r="S67" s="259" t="s">
        <v>1478</v>
      </c>
      <c r="T67" s="259" t="s">
        <v>1378</v>
      </c>
      <c r="U67" s="259" t="s">
        <v>958</v>
      </c>
      <c r="V67" s="264">
        <v>2.4E-2</v>
      </c>
      <c r="W67" s="261">
        <v>-1</v>
      </c>
      <c r="X67" s="261">
        <v>1</v>
      </c>
      <c r="Y67" s="257">
        <f>V67*W67</f>
        <v>-2.4E-2</v>
      </c>
      <c r="Z67" s="397"/>
      <c r="AA67" s="397"/>
      <c r="AB67" s="324"/>
      <c r="AC67" s="266"/>
      <c r="AD67" s="328"/>
      <c r="AE67" s="259"/>
      <c r="AF67" s="259"/>
      <c r="AG67" s="259"/>
      <c r="AH67" s="269">
        <f>AVERAGE(Y156:Y162)</f>
        <v>0.37571428571428578</v>
      </c>
      <c r="AI67" s="245"/>
      <c r="AJ67" s="252"/>
      <c r="AK67" s="252"/>
    </row>
    <row r="68" spans="1:37" ht="19" customHeight="1">
      <c r="A68" s="252" t="s">
        <v>925</v>
      </c>
      <c r="B68" s="259" t="s">
        <v>1608</v>
      </c>
      <c r="C68" s="259">
        <v>2018</v>
      </c>
      <c r="D68" s="259"/>
      <c r="E68" s="382">
        <v>33</v>
      </c>
      <c r="F68" s="259">
        <v>29.5</v>
      </c>
      <c r="G68" s="252">
        <f>(37-24)/4</f>
        <v>3.25</v>
      </c>
      <c r="H68" s="259" t="s">
        <v>959</v>
      </c>
      <c r="I68" s="259" t="s">
        <v>924</v>
      </c>
      <c r="J68" s="32"/>
      <c r="K68" s="259" t="s">
        <v>957</v>
      </c>
      <c r="L68" s="328" t="s">
        <v>711</v>
      </c>
      <c r="M68" s="259">
        <v>594.79999999999995</v>
      </c>
      <c r="N68" s="259">
        <v>278.5</v>
      </c>
      <c r="O68" s="259" t="s">
        <v>2289</v>
      </c>
      <c r="P68" s="319" t="s">
        <v>1368</v>
      </c>
      <c r="R68" s="252" t="s">
        <v>203</v>
      </c>
      <c r="S68" s="259" t="s">
        <v>1478</v>
      </c>
      <c r="T68" s="259" t="s">
        <v>1377</v>
      </c>
      <c r="U68" s="259" t="s">
        <v>960</v>
      </c>
      <c r="V68" s="260">
        <v>8.4000000000000005E-2</v>
      </c>
      <c r="W68" s="261">
        <v>1</v>
      </c>
      <c r="X68" s="277">
        <v>0</v>
      </c>
      <c r="Y68" s="278">
        <f>V68*W68</f>
        <v>8.4000000000000005E-2</v>
      </c>
      <c r="Z68" s="397"/>
      <c r="AA68" s="397"/>
      <c r="AB68" s="324" t="s">
        <v>2306</v>
      </c>
      <c r="AC68" s="259"/>
      <c r="AD68" s="328"/>
      <c r="AE68" s="259"/>
      <c r="AF68" s="259"/>
      <c r="AG68" s="259"/>
      <c r="AH68" s="245"/>
      <c r="AI68" s="245"/>
    </row>
    <row r="69" spans="1:37" ht="19" customHeight="1">
      <c r="A69" s="252" t="s">
        <v>925</v>
      </c>
      <c r="B69" s="259" t="s">
        <v>1609</v>
      </c>
      <c r="C69" s="259">
        <v>2017</v>
      </c>
      <c r="D69" s="259"/>
      <c r="E69" s="382">
        <v>37</v>
      </c>
      <c r="F69" s="259">
        <v>27.5</v>
      </c>
      <c r="G69" s="259">
        <v>7.3</v>
      </c>
      <c r="H69" s="259"/>
      <c r="I69" s="259" t="s">
        <v>924</v>
      </c>
      <c r="J69" s="32"/>
      <c r="K69" s="259" t="s">
        <v>938</v>
      </c>
      <c r="L69" s="328" t="s">
        <v>711</v>
      </c>
      <c r="M69" s="259">
        <v>822</v>
      </c>
      <c r="N69" s="259">
        <v>324</v>
      </c>
      <c r="O69" s="259" t="s">
        <v>1475</v>
      </c>
      <c r="P69" s="319" t="s">
        <v>1368</v>
      </c>
      <c r="R69" s="252" t="s">
        <v>203</v>
      </c>
      <c r="S69" s="259" t="s">
        <v>971</v>
      </c>
      <c r="T69" s="259"/>
      <c r="U69" s="259"/>
      <c r="V69" s="264">
        <v>-0.21</v>
      </c>
      <c r="W69" s="259">
        <v>-1</v>
      </c>
      <c r="X69" s="261">
        <v>1</v>
      </c>
      <c r="Y69" s="257">
        <f>V69*W69</f>
        <v>0.21</v>
      </c>
      <c r="Z69" s="397">
        <f>AVERAGE(M62:M64,M66:M67,M69)</f>
        <v>714.6</v>
      </c>
      <c r="AA69" s="397">
        <f>AVERAGE(N62:N64,N66:N67,N69)</f>
        <v>267.16666666666669</v>
      </c>
      <c r="AB69" s="324"/>
      <c r="AC69" s="266"/>
      <c r="AE69" s="269"/>
      <c r="AF69" s="269"/>
      <c r="AG69" s="269"/>
      <c r="AH69" s="259" t="s">
        <v>972</v>
      </c>
      <c r="AI69" s="259"/>
    </row>
    <row r="70" spans="1:37" ht="19" customHeight="1">
      <c r="B70" s="259"/>
      <c r="C70" s="259"/>
      <c r="D70" s="259"/>
      <c r="E70" s="382"/>
      <c r="F70" s="259"/>
      <c r="G70" s="259"/>
      <c r="H70" s="259"/>
      <c r="I70" s="259"/>
      <c r="J70" s="32"/>
      <c r="K70" s="259"/>
      <c r="L70" s="328"/>
      <c r="M70" s="259"/>
      <c r="N70" s="259"/>
      <c r="O70" s="259"/>
      <c r="S70" s="259"/>
      <c r="T70" s="259"/>
      <c r="U70" s="259"/>
      <c r="V70" s="264"/>
      <c r="W70" s="259"/>
      <c r="X70" s="261"/>
      <c r="Y70" s="257"/>
      <c r="Z70" s="397"/>
      <c r="AA70" s="397"/>
      <c r="AB70" s="324"/>
      <c r="AC70" s="266"/>
      <c r="AE70" s="269"/>
      <c r="AF70" s="269"/>
      <c r="AG70" s="269"/>
      <c r="AH70" s="259"/>
      <c r="AI70" s="259"/>
    </row>
    <row r="71" spans="1:37" ht="19" customHeight="1">
      <c r="A71" s="252" t="s">
        <v>1144</v>
      </c>
      <c r="B71" s="252" t="s">
        <v>1607</v>
      </c>
      <c r="C71" s="252">
        <v>2014</v>
      </c>
      <c r="D71" s="252" t="s">
        <v>939</v>
      </c>
      <c r="E71" s="267">
        <v>29</v>
      </c>
      <c r="F71" s="252">
        <v>14</v>
      </c>
      <c r="G71" s="252">
        <f>(18-10)/4</f>
        <v>2</v>
      </c>
      <c r="H71" s="270" t="s">
        <v>763</v>
      </c>
      <c r="I71" s="259" t="s">
        <v>924</v>
      </c>
      <c r="L71" s="323" t="s">
        <v>940</v>
      </c>
      <c r="M71" s="252">
        <v>550.5</v>
      </c>
      <c r="N71" s="252">
        <v>260</v>
      </c>
      <c r="O71" s="252" t="s">
        <v>1960</v>
      </c>
      <c r="P71" s="319" t="s">
        <v>1368</v>
      </c>
      <c r="R71" s="252" t="s">
        <v>755</v>
      </c>
      <c r="V71" s="260">
        <v>-0.49</v>
      </c>
      <c r="W71" s="252">
        <v>-1</v>
      </c>
      <c r="X71" s="261">
        <v>1</v>
      </c>
      <c r="Y71" s="257">
        <f t="shared" ref="Y71:Y79" si="6">V71*W71</f>
        <v>0.49</v>
      </c>
      <c r="Z71" s="397"/>
      <c r="AA71" s="397"/>
      <c r="AB71" s="324"/>
      <c r="AC71" s="266"/>
      <c r="AD71" s="323" t="s">
        <v>1179</v>
      </c>
    </row>
    <row r="72" spans="1:37" ht="19" customHeight="1">
      <c r="A72" s="252" t="s">
        <v>1144</v>
      </c>
      <c r="B72" s="259" t="s">
        <v>1325</v>
      </c>
      <c r="C72" s="259">
        <v>1997</v>
      </c>
      <c r="D72" s="259"/>
      <c r="E72" s="382">
        <v>15</v>
      </c>
      <c r="F72" s="252">
        <v>12.13</v>
      </c>
      <c r="G72" s="252">
        <v>1.21</v>
      </c>
      <c r="H72" s="259"/>
      <c r="I72" s="259" t="s">
        <v>924</v>
      </c>
      <c r="J72" s="32"/>
      <c r="K72" s="259"/>
      <c r="L72" s="328" t="s">
        <v>711</v>
      </c>
      <c r="M72" s="252">
        <v>547</v>
      </c>
      <c r="N72" s="252">
        <v>270</v>
      </c>
      <c r="O72" s="259" t="s">
        <v>24</v>
      </c>
      <c r="P72" s="319" t="s">
        <v>1368</v>
      </c>
      <c r="R72" s="259" t="s">
        <v>1330</v>
      </c>
      <c r="S72" s="259"/>
      <c r="T72" s="259"/>
      <c r="U72" s="259"/>
      <c r="V72" s="264">
        <v>-0.28999999999999998</v>
      </c>
      <c r="W72" s="252">
        <v>-1</v>
      </c>
      <c r="X72" s="261">
        <v>1</v>
      </c>
      <c r="Y72" s="257">
        <f t="shared" si="6"/>
        <v>0.28999999999999998</v>
      </c>
      <c r="Z72" s="397"/>
      <c r="AA72" s="397"/>
      <c r="AB72" s="324"/>
      <c r="AC72" s="266"/>
      <c r="AD72" s="329"/>
      <c r="AE72" s="269"/>
      <c r="AF72" s="269"/>
      <c r="AG72" s="269"/>
      <c r="AH72" s="245"/>
      <c r="AI72" s="245"/>
    </row>
    <row r="73" spans="1:37" ht="19" customHeight="1">
      <c r="A73" s="252" t="s">
        <v>1252</v>
      </c>
      <c r="B73" s="252" t="s">
        <v>1253</v>
      </c>
      <c r="C73" s="252">
        <v>2007</v>
      </c>
      <c r="E73" s="267">
        <v>15</v>
      </c>
      <c r="F73" s="252">
        <v>14.8</v>
      </c>
      <c r="G73" s="252">
        <v>3</v>
      </c>
      <c r="H73" s="270" t="s">
        <v>1229</v>
      </c>
      <c r="I73" s="259" t="s">
        <v>924</v>
      </c>
      <c r="L73" s="328" t="s">
        <v>711</v>
      </c>
      <c r="M73" s="259">
        <v>660</v>
      </c>
      <c r="N73" s="259">
        <f>(1730-222)/4</f>
        <v>377</v>
      </c>
      <c r="O73" s="252" t="s">
        <v>1230</v>
      </c>
      <c r="P73" s="319" t="s">
        <v>1368</v>
      </c>
      <c r="R73" s="252" t="s">
        <v>906</v>
      </c>
      <c r="S73" s="32" t="s">
        <v>1237</v>
      </c>
      <c r="U73" s="32" t="s">
        <v>1251</v>
      </c>
      <c r="V73" s="260">
        <v>0.36</v>
      </c>
      <c r="W73" s="252">
        <v>1</v>
      </c>
      <c r="X73" s="261">
        <v>1</v>
      </c>
      <c r="Y73" s="257">
        <f t="shared" si="6"/>
        <v>0.36</v>
      </c>
      <c r="Z73" s="397"/>
      <c r="AA73" s="397"/>
      <c r="AB73" s="324"/>
      <c r="AC73" s="266"/>
    </row>
    <row r="74" spans="1:37" ht="19" customHeight="1">
      <c r="A74" s="252" t="s">
        <v>1252</v>
      </c>
      <c r="B74" s="252" t="s">
        <v>1253</v>
      </c>
      <c r="C74" s="252">
        <v>2007</v>
      </c>
      <c r="E74" s="267">
        <v>15</v>
      </c>
      <c r="F74" s="252">
        <v>14.8</v>
      </c>
      <c r="G74" s="252">
        <v>3</v>
      </c>
      <c r="H74" s="270" t="s">
        <v>1229</v>
      </c>
      <c r="I74" s="259" t="s">
        <v>924</v>
      </c>
      <c r="L74" s="328" t="s">
        <v>711</v>
      </c>
      <c r="M74" s="259">
        <v>660</v>
      </c>
      <c r="N74" s="259">
        <f>(1730-222)/4</f>
        <v>377</v>
      </c>
      <c r="O74" s="252" t="s">
        <v>1230</v>
      </c>
      <c r="P74" s="319" t="s">
        <v>1368</v>
      </c>
      <c r="R74" s="252" t="s">
        <v>906</v>
      </c>
      <c r="S74" s="32" t="s">
        <v>1379</v>
      </c>
      <c r="U74" s="32" t="s">
        <v>1251</v>
      </c>
      <c r="V74" s="260">
        <v>0.34</v>
      </c>
      <c r="W74" s="252">
        <v>1</v>
      </c>
      <c r="X74" s="261">
        <v>1</v>
      </c>
      <c r="Y74" s="257">
        <f t="shared" si="6"/>
        <v>0.34</v>
      </c>
      <c r="Z74" s="397"/>
      <c r="AA74" s="397"/>
      <c r="AB74" s="324"/>
      <c r="AC74" s="266"/>
    </row>
    <row r="75" spans="1:37" ht="19" customHeight="1">
      <c r="A75" s="252" t="s">
        <v>1252</v>
      </c>
      <c r="B75" s="252" t="s">
        <v>1253</v>
      </c>
      <c r="C75" s="252">
        <v>2007</v>
      </c>
      <c r="E75" s="267">
        <v>15</v>
      </c>
      <c r="F75" s="252">
        <v>14.8</v>
      </c>
      <c r="G75" s="252">
        <v>3</v>
      </c>
      <c r="H75" s="270" t="s">
        <v>1229</v>
      </c>
      <c r="I75" s="259" t="s">
        <v>924</v>
      </c>
      <c r="L75" s="328" t="s">
        <v>711</v>
      </c>
      <c r="M75" s="259">
        <v>660</v>
      </c>
      <c r="N75" s="259">
        <f>(1730-222)/4</f>
        <v>377</v>
      </c>
      <c r="O75" s="252" t="s">
        <v>1230</v>
      </c>
      <c r="P75" s="319" t="s">
        <v>1368</v>
      </c>
      <c r="R75" s="252" t="s">
        <v>906</v>
      </c>
      <c r="S75" s="32" t="s">
        <v>1235</v>
      </c>
      <c r="U75" s="32" t="s">
        <v>1251</v>
      </c>
      <c r="V75" s="260">
        <v>0.45</v>
      </c>
      <c r="W75" s="252">
        <v>1</v>
      </c>
      <c r="X75" s="277">
        <v>0</v>
      </c>
      <c r="Y75" s="278">
        <f t="shared" si="6"/>
        <v>0.45</v>
      </c>
      <c r="Z75" s="397"/>
      <c r="AA75" s="397"/>
      <c r="AB75" s="324" t="s">
        <v>2309</v>
      </c>
      <c r="AC75" s="266"/>
    </row>
    <row r="76" spans="1:37" ht="19" customHeight="1">
      <c r="A76" s="252" t="s">
        <v>1252</v>
      </c>
      <c r="B76" s="252" t="s">
        <v>1253</v>
      </c>
      <c r="C76" s="252">
        <v>2007</v>
      </c>
      <c r="E76" s="267">
        <v>15</v>
      </c>
      <c r="F76" s="252">
        <v>14.8</v>
      </c>
      <c r="G76" s="252">
        <v>3</v>
      </c>
      <c r="H76" s="270" t="s">
        <v>1229</v>
      </c>
      <c r="I76" s="259" t="s">
        <v>924</v>
      </c>
      <c r="L76" s="328" t="s">
        <v>711</v>
      </c>
      <c r="M76" s="259">
        <v>660</v>
      </c>
      <c r="N76" s="259">
        <f>(1730-222)/4</f>
        <v>377</v>
      </c>
      <c r="O76" s="252" t="s">
        <v>1230</v>
      </c>
      <c r="P76" s="319" t="s">
        <v>1368</v>
      </c>
      <c r="R76" s="252" t="s">
        <v>906</v>
      </c>
      <c r="S76" s="32" t="s">
        <v>1236</v>
      </c>
      <c r="U76" s="32" t="s">
        <v>1251</v>
      </c>
      <c r="V76" s="260">
        <v>0.32</v>
      </c>
      <c r="W76" s="252">
        <v>1</v>
      </c>
      <c r="X76" s="261">
        <v>1</v>
      </c>
      <c r="Y76" s="257">
        <f t="shared" si="6"/>
        <v>0.32</v>
      </c>
      <c r="Z76" s="397"/>
      <c r="AA76" s="397"/>
      <c r="AB76" s="324"/>
      <c r="AC76" s="266"/>
    </row>
    <row r="77" spans="1:37" ht="19" customHeight="1">
      <c r="A77" s="252" t="s">
        <v>1252</v>
      </c>
      <c r="B77" s="252" t="s">
        <v>1253</v>
      </c>
      <c r="C77" s="252">
        <v>2007</v>
      </c>
      <c r="E77" s="267">
        <v>15</v>
      </c>
      <c r="F77" s="252">
        <v>14.8</v>
      </c>
      <c r="G77" s="252">
        <v>3</v>
      </c>
      <c r="H77" s="270" t="s">
        <v>1229</v>
      </c>
      <c r="I77" s="259" t="s">
        <v>924</v>
      </c>
      <c r="L77" s="328" t="s">
        <v>711</v>
      </c>
      <c r="M77" s="259">
        <v>660</v>
      </c>
      <c r="N77" s="259">
        <f>(1730-222)/4</f>
        <v>377</v>
      </c>
      <c r="O77" s="252" t="s">
        <v>1230</v>
      </c>
      <c r="P77" s="319" t="s">
        <v>1368</v>
      </c>
      <c r="R77" s="252" t="s">
        <v>203</v>
      </c>
      <c r="S77" s="32" t="s">
        <v>1248</v>
      </c>
      <c r="U77" s="32" t="s">
        <v>1251</v>
      </c>
      <c r="V77" s="260">
        <v>0.36</v>
      </c>
      <c r="W77" s="252">
        <v>1</v>
      </c>
      <c r="X77" s="261">
        <v>1</v>
      </c>
      <c r="Y77" s="257">
        <f t="shared" si="6"/>
        <v>0.36</v>
      </c>
      <c r="Z77" s="397">
        <f>AVERAGE(M70:M74,M76:M77)</f>
        <v>622.91666666666663</v>
      </c>
      <c r="AA77" s="397">
        <f>AVERAGE(N70:N74,N76:N77)</f>
        <v>339.66666666666669</v>
      </c>
      <c r="AB77" s="323"/>
      <c r="AC77" s="266"/>
    </row>
    <row r="78" spans="1:37" ht="19" customHeight="1">
      <c r="H78" s="270"/>
      <c r="I78" s="259"/>
      <c r="L78" s="328"/>
      <c r="M78" s="259"/>
      <c r="N78" s="259"/>
      <c r="U78" s="32"/>
      <c r="X78" s="261"/>
      <c r="Y78" s="257"/>
      <c r="Z78" s="397"/>
      <c r="AA78" s="397"/>
      <c r="AB78" s="323"/>
      <c r="AC78" s="266"/>
    </row>
    <row r="79" spans="1:37" ht="19" customHeight="1">
      <c r="A79" s="252" t="s">
        <v>1757</v>
      </c>
      <c r="B79" s="252" t="s">
        <v>290</v>
      </c>
      <c r="C79" s="252">
        <v>2001</v>
      </c>
      <c r="E79" s="267">
        <v>18</v>
      </c>
      <c r="F79" s="252">
        <v>17.88</v>
      </c>
      <c r="G79" s="259">
        <v>2.74</v>
      </c>
      <c r="H79" s="259" t="s">
        <v>1152</v>
      </c>
      <c r="I79" s="259" t="s">
        <v>924</v>
      </c>
      <c r="L79" s="328" t="s">
        <v>711</v>
      </c>
      <c r="M79" s="252" t="s">
        <v>1149</v>
      </c>
      <c r="N79" s="252" t="s">
        <v>1149</v>
      </c>
      <c r="O79" s="252" t="s">
        <v>24</v>
      </c>
      <c r="P79" s="319" t="s">
        <v>1368</v>
      </c>
      <c r="R79" s="259" t="s">
        <v>105</v>
      </c>
      <c r="S79" s="32" t="s">
        <v>1590</v>
      </c>
      <c r="V79" s="260">
        <v>0.71</v>
      </c>
      <c r="W79" s="252">
        <v>1</v>
      </c>
      <c r="X79" s="261">
        <v>1</v>
      </c>
      <c r="Y79" s="257">
        <f t="shared" si="6"/>
        <v>0.71</v>
      </c>
      <c r="Z79" s="397"/>
      <c r="AA79" s="397"/>
    </row>
    <row r="80" spans="1:37" ht="19" customHeight="1">
      <c r="A80" s="274" t="s">
        <v>1757</v>
      </c>
      <c r="B80" s="252" t="s">
        <v>2029</v>
      </c>
      <c r="C80" s="252">
        <v>1998</v>
      </c>
      <c r="E80" s="267">
        <v>21</v>
      </c>
      <c r="F80" s="252">
        <v>11.3</v>
      </c>
      <c r="G80" s="252">
        <v>6.2</v>
      </c>
      <c r="H80" s="274" t="s">
        <v>1758</v>
      </c>
      <c r="I80" s="252" t="s">
        <v>67</v>
      </c>
      <c r="K80" s="252" t="s">
        <v>1759</v>
      </c>
      <c r="L80" s="323" t="s">
        <v>1760</v>
      </c>
      <c r="M80" s="252">
        <v>785.3</v>
      </c>
      <c r="N80" s="252">
        <v>202.7</v>
      </c>
      <c r="O80" s="252" t="s">
        <v>1761</v>
      </c>
      <c r="P80" s="319" t="s">
        <v>1368</v>
      </c>
      <c r="R80" s="252" t="s">
        <v>1762</v>
      </c>
      <c r="S80" s="32" t="s">
        <v>1763</v>
      </c>
      <c r="U80" s="32" t="s">
        <v>1764</v>
      </c>
      <c r="V80" s="252">
        <v>0.51</v>
      </c>
      <c r="W80" s="252">
        <v>1</v>
      </c>
      <c r="X80" s="261">
        <v>1</v>
      </c>
      <c r="Y80" s="257">
        <v>0.51</v>
      </c>
      <c r="Z80" s="397"/>
      <c r="AA80" s="397"/>
      <c r="AB80" s="324"/>
      <c r="AC80" s="266"/>
    </row>
    <row r="81" spans="1:35" ht="19" customHeight="1">
      <c r="A81" s="252" t="s">
        <v>1757</v>
      </c>
      <c r="B81" s="252" t="s">
        <v>290</v>
      </c>
      <c r="C81" s="252">
        <v>2001</v>
      </c>
      <c r="E81" s="267">
        <v>18</v>
      </c>
      <c r="F81" s="252">
        <v>17.88</v>
      </c>
      <c r="G81" s="259">
        <v>2.74</v>
      </c>
      <c r="H81" s="259" t="s">
        <v>1153</v>
      </c>
      <c r="I81" s="259" t="s">
        <v>924</v>
      </c>
      <c r="L81" s="328" t="s">
        <v>711</v>
      </c>
      <c r="M81" s="252" t="s">
        <v>1149</v>
      </c>
      <c r="N81" s="252" t="s">
        <v>1149</v>
      </c>
      <c r="O81" s="252" t="s">
        <v>24</v>
      </c>
      <c r="P81" s="319" t="s">
        <v>1368</v>
      </c>
      <c r="R81" s="252" t="s">
        <v>203</v>
      </c>
      <c r="S81" s="32" t="s">
        <v>968</v>
      </c>
      <c r="U81" s="252" t="s">
        <v>327</v>
      </c>
      <c r="V81" s="260">
        <v>-0.3</v>
      </c>
      <c r="W81" s="252">
        <v>-1</v>
      </c>
      <c r="X81" s="261">
        <v>1</v>
      </c>
      <c r="Y81" s="257">
        <f>V81*W81</f>
        <v>0.3</v>
      </c>
      <c r="Z81" s="397"/>
      <c r="AA81" s="397"/>
    </row>
    <row r="82" spans="1:35" ht="19" customHeight="1">
      <c r="G82" s="259"/>
      <c r="H82" s="259"/>
      <c r="I82" s="259"/>
      <c r="L82" s="328"/>
      <c r="X82" s="261"/>
      <c r="Y82" s="257"/>
      <c r="Z82" s="397"/>
      <c r="AA82" s="397"/>
    </row>
    <row r="83" spans="1:35" ht="19" customHeight="1">
      <c r="A83" s="252" t="s">
        <v>925</v>
      </c>
      <c r="B83" s="259" t="s">
        <v>2291</v>
      </c>
      <c r="C83" s="259">
        <v>2021</v>
      </c>
      <c r="D83" s="259"/>
      <c r="E83" s="382">
        <v>9</v>
      </c>
      <c r="F83" s="259">
        <v>33</v>
      </c>
      <c r="G83" s="259">
        <v>8.75</v>
      </c>
      <c r="H83" s="259"/>
      <c r="I83" s="259" t="s">
        <v>924</v>
      </c>
      <c r="J83" s="32"/>
      <c r="K83" s="259" t="s">
        <v>927</v>
      </c>
      <c r="L83" s="328" t="s">
        <v>711</v>
      </c>
      <c r="M83" s="259">
        <v>1108</v>
      </c>
      <c r="N83" s="259">
        <v>293</v>
      </c>
      <c r="O83" s="259" t="s">
        <v>2292</v>
      </c>
      <c r="P83" s="245" t="s">
        <v>188</v>
      </c>
      <c r="Q83" s="259"/>
      <c r="R83" s="259" t="s">
        <v>929</v>
      </c>
      <c r="S83" s="259"/>
      <c r="T83" s="259"/>
      <c r="U83" s="259"/>
      <c r="V83" s="260" t="s">
        <v>930</v>
      </c>
      <c r="W83" s="261">
        <v>-1</v>
      </c>
      <c r="X83" s="277">
        <v>0</v>
      </c>
      <c r="Y83" s="339"/>
      <c r="AH83" s="245" t="s">
        <v>931</v>
      </c>
      <c r="AI83" s="245"/>
    </row>
    <row r="84" spans="1:35" ht="19" customHeight="1">
      <c r="A84" s="252" t="s">
        <v>925</v>
      </c>
      <c r="B84" s="259" t="s">
        <v>1609</v>
      </c>
      <c r="C84" s="259">
        <v>2020</v>
      </c>
      <c r="D84" s="259"/>
      <c r="E84" s="382">
        <v>19</v>
      </c>
      <c r="F84" s="259">
        <v>23.5</v>
      </c>
      <c r="G84" s="259">
        <v>6.1</v>
      </c>
      <c r="H84" s="259"/>
      <c r="I84" s="259" t="s">
        <v>924</v>
      </c>
      <c r="J84" s="32"/>
      <c r="K84" s="259" t="s">
        <v>938</v>
      </c>
      <c r="L84" s="328" t="s">
        <v>711</v>
      </c>
      <c r="M84" s="164">
        <v>1042</v>
      </c>
      <c r="N84" s="164">
        <v>428</v>
      </c>
      <c r="O84" s="110" t="s">
        <v>1877</v>
      </c>
      <c r="P84" s="319" t="s">
        <v>188</v>
      </c>
      <c r="R84" s="259" t="s">
        <v>1477</v>
      </c>
      <c r="S84" s="259"/>
      <c r="T84" s="259"/>
      <c r="U84" s="259"/>
      <c r="V84" s="266">
        <v>-0.41</v>
      </c>
      <c r="W84" s="261">
        <v>-1</v>
      </c>
      <c r="X84" s="261">
        <v>1</v>
      </c>
      <c r="Y84" s="257">
        <f t="shared" ref="Y84:Y96" si="7">V84*W84</f>
        <v>0.41</v>
      </c>
      <c r="Z84" s="397"/>
      <c r="AA84" s="397"/>
      <c r="AB84" s="324"/>
      <c r="AC84" s="266"/>
      <c r="AD84" s="328"/>
      <c r="AE84" s="259"/>
      <c r="AF84" s="259"/>
      <c r="AG84" s="259"/>
      <c r="AH84" s="259"/>
      <c r="AI84" s="259"/>
    </row>
    <row r="85" spans="1:35" ht="19" customHeight="1">
      <c r="A85" s="252" t="s">
        <v>925</v>
      </c>
      <c r="B85" s="259" t="s">
        <v>1609</v>
      </c>
      <c r="C85" s="259">
        <v>2017</v>
      </c>
      <c r="D85" s="259"/>
      <c r="E85" s="382">
        <v>37</v>
      </c>
      <c r="F85" s="259">
        <v>27.5</v>
      </c>
      <c r="G85" s="259">
        <v>7.3</v>
      </c>
      <c r="H85" s="259"/>
      <c r="I85" s="259" t="s">
        <v>924</v>
      </c>
      <c r="J85" s="32"/>
      <c r="K85" s="259" t="s">
        <v>938</v>
      </c>
      <c r="L85" s="328" t="s">
        <v>711</v>
      </c>
      <c r="M85" s="259">
        <v>822</v>
      </c>
      <c r="N85" s="259">
        <v>324</v>
      </c>
      <c r="O85" s="259" t="s">
        <v>1475</v>
      </c>
      <c r="P85" s="319" t="s">
        <v>188</v>
      </c>
      <c r="R85" s="259" t="s">
        <v>1477</v>
      </c>
      <c r="S85" s="259"/>
      <c r="T85" s="259"/>
      <c r="U85" s="259"/>
      <c r="V85" s="266">
        <v>-0.36</v>
      </c>
      <c r="W85" s="261">
        <v>-1</v>
      </c>
      <c r="X85" s="261">
        <v>1</v>
      </c>
      <c r="Y85" s="257">
        <f t="shared" si="7"/>
        <v>0.36</v>
      </c>
      <c r="Z85" s="397"/>
      <c r="AA85" s="397"/>
      <c r="AB85" s="324"/>
      <c r="AC85" s="266"/>
      <c r="AD85" s="328"/>
      <c r="AE85" s="259"/>
      <c r="AF85" s="259"/>
      <c r="AG85" s="259"/>
      <c r="AH85" s="259"/>
      <c r="AI85" s="259"/>
    </row>
    <row r="86" spans="1:35" ht="19" customHeight="1">
      <c r="A86" s="276" t="s">
        <v>925</v>
      </c>
      <c r="B86" s="276" t="s">
        <v>1749</v>
      </c>
      <c r="C86" s="272">
        <v>2015</v>
      </c>
      <c r="D86" s="272" t="s">
        <v>1591</v>
      </c>
      <c r="E86" s="267">
        <v>14</v>
      </c>
      <c r="F86" s="272">
        <v>24.97</v>
      </c>
      <c r="G86" s="272">
        <v>1.57</v>
      </c>
      <c r="H86" s="272" t="s">
        <v>1750</v>
      </c>
      <c r="I86" s="272" t="s">
        <v>1751</v>
      </c>
      <c r="J86" s="272"/>
      <c r="K86" s="272" t="s">
        <v>1755</v>
      </c>
      <c r="L86" s="378" t="s">
        <v>1753</v>
      </c>
      <c r="M86" s="272">
        <v>727</v>
      </c>
      <c r="N86" s="272">
        <v>199</v>
      </c>
      <c r="O86" s="272" t="s">
        <v>1754</v>
      </c>
      <c r="P86" s="289" t="s">
        <v>188</v>
      </c>
      <c r="R86" s="272" t="s">
        <v>1477</v>
      </c>
      <c r="S86" s="275"/>
      <c r="T86" s="272"/>
      <c r="U86" s="272" t="s">
        <v>1780</v>
      </c>
      <c r="V86" s="280">
        <v>-0.47899999999999998</v>
      </c>
      <c r="W86" s="261">
        <v>-1</v>
      </c>
      <c r="X86" s="261">
        <v>1</v>
      </c>
      <c r="Y86" s="257">
        <f t="shared" si="7"/>
        <v>0.47899999999999998</v>
      </c>
      <c r="Z86" s="397"/>
      <c r="AA86" s="397"/>
      <c r="AB86" s="324"/>
      <c r="AC86" s="266"/>
    </row>
    <row r="87" spans="1:35" ht="19" customHeight="1">
      <c r="A87" s="252" t="s">
        <v>925</v>
      </c>
      <c r="B87" s="259" t="s">
        <v>1613</v>
      </c>
      <c r="C87" s="259">
        <v>2017</v>
      </c>
      <c r="D87" s="259"/>
      <c r="E87" s="382">
        <v>9</v>
      </c>
      <c r="F87" s="259">
        <v>29</v>
      </c>
      <c r="G87" s="259" t="s">
        <v>947</v>
      </c>
      <c r="H87" s="259"/>
      <c r="I87" s="259" t="s">
        <v>924</v>
      </c>
      <c r="J87" s="259"/>
      <c r="K87" s="259" t="s">
        <v>948</v>
      </c>
      <c r="L87" s="328" t="s">
        <v>711</v>
      </c>
      <c r="M87" s="259">
        <v>918</v>
      </c>
      <c r="N87" s="259">
        <v>373</v>
      </c>
      <c r="O87" s="259" t="s">
        <v>1991</v>
      </c>
      <c r="P87" s="245" t="s">
        <v>188</v>
      </c>
      <c r="Q87" s="259"/>
      <c r="R87" s="259" t="s">
        <v>949</v>
      </c>
      <c r="S87" s="259"/>
      <c r="T87" s="259"/>
      <c r="U87" s="252" t="s">
        <v>2271</v>
      </c>
      <c r="V87" s="252">
        <v>0.23</v>
      </c>
      <c r="W87" s="261">
        <v>-1</v>
      </c>
      <c r="X87" s="261">
        <v>1</v>
      </c>
      <c r="Y87" s="257">
        <f t="shared" si="7"/>
        <v>-0.23</v>
      </c>
      <c r="Z87" s="397"/>
      <c r="AA87" s="397"/>
      <c r="AB87" s="324"/>
      <c r="AC87" s="259" t="s">
        <v>950</v>
      </c>
      <c r="AE87" s="259"/>
      <c r="AF87" s="259"/>
      <c r="AG87" s="259"/>
      <c r="AH87" s="245"/>
      <c r="AI87" s="245"/>
    </row>
    <row r="88" spans="1:35" ht="19" customHeight="1">
      <c r="A88" s="252" t="s">
        <v>932</v>
      </c>
      <c r="B88" s="252" t="s">
        <v>933</v>
      </c>
      <c r="C88" s="252">
        <v>2023</v>
      </c>
      <c r="E88" s="267">
        <v>40</v>
      </c>
      <c r="F88" s="252">
        <v>26.4</v>
      </c>
      <c r="G88" s="252">
        <v>5.5</v>
      </c>
      <c r="I88" s="259" t="s">
        <v>924</v>
      </c>
      <c r="L88" s="323" t="s">
        <v>934</v>
      </c>
      <c r="M88" s="252">
        <v>589</v>
      </c>
      <c r="N88" s="252">
        <v>444</v>
      </c>
      <c r="O88" s="252" t="s">
        <v>935</v>
      </c>
      <c r="P88" s="319" t="s">
        <v>188</v>
      </c>
      <c r="R88" s="252" t="s">
        <v>2264</v>
      </c>
      <c r="V88" s="263">
        <v>-0.56999999999999995</v>
      </c>
      <c r="W88" s="261">
        <v>-1</v>
      </c>
      <c r="X88" s="261">
        <v>1</v>
      </c>
      <c r="Y88" s="257">
        <f t="shared" si="7"/>
        <v>0.56999999999999995</v>
      </c>
      <c r="Z88" s="397"/>
      <c r="AA88" s="397"/>
      <c r="AB88" s="324"/>
      <c r="AC88" s="266"/>
    </row>
    <row r="89" spans="1:35" ht="19" customHeight="1">
      <c r="A89" s="252" t="s">
        <v>932</v>
      </c>
      <c r="B89" s="252" t="s">
        <v>491</v>
      </c>
      <c r="C89" s="252">
        <v>2013</v>
      </c>
      <c r="D89" s="252" t="s">
        <v>944</v>
      </c>
      <c r="E89" s="267">
        <v>57</v>
      </c>
      <c r="F89" s="252">
        <v>27.48</v>
      </c>
      <c r="G89" s="252">
        <v>4.55</v>
      </c>
      <c r="I89" s="259" t="s">
        <v>924</v>
      </c>
      <c r="K89" s="259" t="s">
        <v>24</v>
      </c>
      <c r="L89" s="323" t="s">
        <v>1329</v>
      </c>
      <c r="M89" s="252" t="s">
        <v>899</v>
      </c>
      <c r="O89" s="252" t="s">
        <v>24</v>
      </c>
      <c r="P89" s="319" t="s">
        <v>188</v>
      </c>
      <c r="R89" s="32" t="s">
        <v>1477</v>
      </c>
      <c r="T89" s="32"/>
      <c r="U89" s="32"/>
      <c r="V89" s="263">
        <v>-0.58899999999999997</v>
      </c>
      <c r="W89" s="261">
        <v>-1</v>
      </c>
      <c r="X89" s="261">
        <v>1</v>
      </c>
      <c r="Y89" s="257">
        <f t="shared" si="7"/>
        <v>0.58899999999999997</v>
      </c>
      <c r="Z89" s="397"/>
      <c r="AA89" s="397"/>
      <c r="AB89" s="324"/>
      <c r="AC89" s="266"/>
    </row>
    <row r="90" spans="1:35" ht="19" customHeight="1">
      <c r="A90" s="252" t="s">
        <v>932</v>
      </c>
      <c r="B90" s="252" t="s">
        <v>941</v>
      </c>
      <c r="C90" s="252">
        <v>2017</v>
      </c>
      <c r="D90" s="252" t="s">
        <v>942</v>
      </c>
      <c r="E90" s="267">
        <v>65</v>
      </c>
      <c r="F90" s="252">
        <v>19.59</v>
      </c>
      <c r="G90" s="252">
        <v>2.94</v>
      </c>
      <c r="K90" s="252" t="s">
        <v>24</v>
      </c>
      <c r="L90" s="323" t="s">
        <v>943</v>
      </c>
      <c r="M90" s="252" t="s">
        <v>899</v>
      </c>
      <c r="O90" s="252" t="s">
        <v>24</v>
      </c>
      <c r="P90" s="319" t="s">
        <v>188</v>
      </c>
      <c r="R90" s="252" t="s">
        <v>1733</v>
      </c>
      <c r="V90" s="263">
        <v>-0.39</v>
      </c>
      <c r="W90" s="261">
        <v>-1</v>
      </c>
      <c r="X90" s="261">
        <v>1</v>
      </c>
      <c r="Y90" s="257">
        <f t="shared" si="7"/>
        <v>0.39</v>
      </c>
      <c r="Z90" s="397"/>
      <c r="AA90" s="397"/>
      <c r="AB90" s="324"/>
      <c r="AC90" s="266"/>
    </row>
    <row r="91" spans="1:35" ht="19" customHeight="1">
      <c r="A91" s="252" t="s">
        <v>932</v>
      </c>
      <c r="B91" s="252" t="s">
        <v>491</v>
      </c>
      <c r="C91" s="252">
        <v>2013</v>
      </c>
      <c r="D91" s="252" t="s">
        <v>944</v>
      </c>
      <c r="E91" s="267">
        <v>57</v>
      </c>
      <c r="F91" s="252">
        <v>27.48</v>
      </c>
      <c r="G91" s="252">
        <v>4.55</v>
      </c>
      <c r="I91" s="259" t="s">
        <v>924</v>
      </c>
      <c r="K91" s="252" t="s">
        <v>1759</v>
      </c>
      <c r="L91" s="323" t="s">
        <v>945</v>
      </c>
      <c r="M91" s="252" t="s">
        <v>899</v>
      </c>
      <c r="O91" s="252" t="s">
        <v>24</v>
      </c>
      <c r="P91" s="319" t="s">
        <v>188</v>
      </c>
      <c r="R91" s="252" t="s">
        <v>949</v>
      </c>
      <c r="V91" s="263">
        <v>-0.60499999999999998</v>
      </c>
      <c r="W91" s="261">
        <v>-1</v>
      </c>
      <c r="X91" s="261">
        <v>1</v>
      </c>
      <c r="Y91" s="257">
        <f t="shared" si="7"/>
        <v>0.60499999999999998</v>
      </c>
      <c r="Z91" s="397"/>
      <c r="AA91" s="397"/>
      <c r="AB91" s="324"/>
      <c r="AC91" s="266" t="s">
        <v>1374</v>
      </c>
    </row>
    <row r="92" spans="1:35" ht="19" customHeight="1">
      <c r="A92" s="252" t="s">
        <v>932</v>
      </c>
      <c r="B92" s="252" t="s">
        <v>2031</v>
      </c>
      <c r="C92" s="252">
        <v>1995</v>
      </c>
      <c r="D92" s="252" t="s">
        <v>1815</v>
      </c>
      <c r="E92" s="267">
        <v>21</v>
      </c>
      <c r="F92" s="252">
        <v>20.8</v>
      </c>
      <c r="G92" s="252" t="s">
        <v>24</v>
      </c>
      <c r="H92" s="252" t="s">
        <v>1107</v>
      </c>
      <c r="I92" s="252" t="s">
        <v>67</v>
      </c>
      <c r="K92" s="252" t="s">
        <v>1816</v>
      </c>
      <c r="L92" s="323" t="s">
        <v>1760</v>
      </c>
      <c r="M92" s="252">
        <v>1273</v>
      </c>
      <c r="N92" s="252">
        <v>280</v>
      </c>
      <c r="O92" s="252" t="s">
        <v>1817</v>
      </c>
      <c r="P92" s="319" t="s">
        <v>188</v>
      </c>
      <c r="R92" s="252" t="s">
        <v>1366</v>
      </c>
      <c r="V92" s="263">
        <v>-0.03</v>
      </c>
      <c r="W92" s="261">
        <v>-1</v>
      </c>
      <c r="X92" s="261">
        <v>1</v>
      </c>
      <c r="Y92" s="257">
        <f t="shared" si="7"/>
        <v>0.03</v>
      </c>
      <c r="Z92" s="397"/>
      <c r="AA92" s="397"/>
      <c r="AB92" s="324"/>
      <c r="AC92" s="266"/>
    </row>
    <row r="93" spans="1:35" ht="19" customHeight="1">
      <c r="A93" s="252" t="s">
        <v>932</v>
      </c>
      <c r="B93" s="288" t="s">
        <v>2298</v>
      </c>
      <c r="C93" s="272">
        <v>2001</v>
      </c>
      <c r="E93" s="267">
        <v>17</v>
      </c>
      <c r="F93" s="271">
        <v>25.8</v>
      </c>
      <c r="G93" s="273" t="s">
        <v>24</v>
      </c>
      <c r="H93" s="252" t="s">
        <v>2231</v>
      </c>
      <c r="I93" s="252" t="s">
        <v>924</v>
      </c>
      <c r="K93" s="252" t="s">
        <v>2230</v>
      </c>
      <c r="L93" s="328" t="s">
        <v>711</v>
      </c>
      <c r="M93" s="252">
        <f>1.17*1000</f>
        <v>1170</v>
      </c>
      <c r="N93" s="252">
        <f>0.32*1000</f>
        <v>320</v>
      </c>
      <c r="O93" s="252" t="s">
        <v>2229</v>
      </c>
      <c r="P93" s="319" t="s">
        <v>188</v>
      </c>
      <c r="R93" s="252" t="s">
        <v>1477</v>
      </c>
      <c r="V93" s="263">
        <v>-0.6</v>
      </c>
      <c r="W93" s="261">
        <v>-1</v>
      </c>
      <c r="X93" s="261">
        <v>1</v>
      </c>
      <c r="Y93" s="257">
        <f t="shared" si="7"/>
        <v>0.6</v>
      </c>
      <c r="Z93" s="397"/>
      <c r="AA93" s="397"/>
      <c r="AB93" s="324"/>
      <c r="AC93" s="266"/>
    </row>
    <row r="94" spans="1:35" ht="19" customHeight="1">
      <c r="A94" s="252" t="s">
        <v>932</v>
      </c>
      <c r="B94" s="288" t="s">
        <v>2297</v>
      </c>
      <c r="C94" s="272">
        <v>2024</v>
      </c>
      <c r="E94" s="267">
        <v>25</v>
      </c>
      <c r="F94" s="252">
        <v>22</v>
      </c>
      <c r="G94" s="252" t="s">
        <v>24</v>
      </c>
      <c r="H94" s="252" t="s">
        <v>2234</v>
      </c>
      <c r="I94" s="252" t="s">
        <v>924</v>
      </c>
      <c r="K94" s="252" t="s">
        <v>2235</v>
      </c>
      <c r="L94" s="328" t="s">
        <v>711</v>
      </c>
      <c r="M94" s="252">
        <v>1331.8</v>
      </c>
      <c r="N94" s="252" t="s">
        <v>2184</v>
      </c>
      <c r="O94" s="252" t="s">
        <v>24</v>
      </c>
      <c r="P94" s="319" t="s">
        <v>188</v>
      </c>
      <c r="R94" s="252" t="s">
        <v>1477</v>
      </c>
      <c r="V94" s="263">
        <v>-0.35</v>
      </c>
      <c r="W94" s="261">
        <v>-1</v>
      </c>
      <c r="X94" s="261">
        <v>1</v>
      </c>
      <c r="Y94" s="257">
        <f t="shared" si="7"/>
        <v>0.35</v>
      </c>
      <c r="Z94" s="397"/>
      <c r="AA94" s="397"/>
      <c r="AB94" s="324"/>
      <c r="AC94" s="266"/>
    </row>
    <row r="95" spans="1:35" ht="19" customHeight="1">
      <c r="A95" s="252" t="s">
        <v>932</v>
      </c>
      <c r="B95" s="288" t="s">
        <v>2296</v>
      </c>
      <c r="C95" s="272">
        <v>2007</v>
      </c>
      <c r="E95" s="267">
        <v>12</v>
      </c>
      <c r="F95" s="271">
        <v>28.5</v>
      </c>
      <c r="G95" s="273">
        <v>3.3</v>
      </c>
      <c r="H95" s="252" t="s">
        <v>24</v>
      </c>
      <c r="I95" s="252" t="s">
        <v>924</v>
      </c>
      <c r="K95" s="252" t="s">
        <v>2223</v>
      </c>
      <c r="L95" s="328" t="s">
        <v>711</v>
      </c>
      <c r="M95" s="252" t="s">
        <v>2184</v>
      </c>
      <c r="N95" s="252" t="s">
        <v>2184</v>
      </c>
      <c r="O95" s="252" t="s">
        <v>24</v>
      </c>
      <c r="P95" s="319" t="s">
        <v>188</v>
      </c>
      <c r="R95" s="252" t="s">
        <v>1477</v>
      </c>
      <c r="U95" s="252" t="s">
        <v>2224</v>
      </c>
      <c r="V95" s="263">
        <v>-0.47</v>
      </c>
      <c r="W95" s="261">
        <v>-1</v>
      </c>
      <c r="X95" s="261">
        <v>1</v>
      </c>
      <c r="Y95" s="257">
        <f t="shared" si="7"/>
        <v>0.47</v>
      </c>
      <c r="Z95" s="397"/>
      <c r="AA95" s="397"/>
      <c r="AB95" s="324"/>
      <c r="AC95" s="266"/>
    </row>
    <row r="96" spans="1:35" ht="19" customHeight="1">
      <c r="A96" s="252" t="s">
        <v>932</v>
      </c>
      <c r="B96" s="288" t="s">
        <v>2299</v>
      </c>
      <c r="C96" s="272">
        <v>2020</v>
      </c>
      <c r="E96" s="267">
        <v>36</v>
      </c>
      <c r="F96" s="252">
        <v>27.4</v>
      </c>
      <c r="G96" s="252">
        <v>8.3000000000000007</v>
      </c>
      <c r="H96" s="252" t="s">
        <v>1853</v>
      </c>
      <c r="I96" s="252" t="s">
        <v>67</v>
      </c>
      <c r="K96" s="252" t="s">
        <v>2217</v>
      </c>
      <c r="L96" s="328" t="s">
        <v>711</v>
      </c>
      <c r="M96" s="252">
        <v>670</v>
      </c>
      <c r="N96" s="252">
        <v>319</v>
      </c>
      <c r="O96" s="252" t="s">
        <v>24</v>
      </c>
      <c r="P96" s="319" t="s">
        <v>188</v>
      </c>
      <c r="R96" s="252" t="s">
        <v>949</v>
      </c>
      <c r="U96" s="252" t="s">
        <v>2219</v>
      </c>
      <c r="V96" s="252">
        <v>0.24</v>
      </c>
      <c r="W96" s="261">
        <v>1</v>
      </c>
      <c r="X96" s="261">
        <v>1</v>
      </c>
      <c r="Y96" s="257">
        <f t="shared" si="7"/>
        <v>0.24</v>
      </c>
      <c r="Z96" s="397">
        <f>AVERAGE(M83:M96)</f>
        <v>965.07999999999993</v>
      </c>
      <c r="AA96" s="397">
        <f>AVERAGE(N83:N96)</f>
        <v>331.11111111111109</v>
      </c>
      <c r="AB96" s="322">
        <f>AVERAGE(Y84:Y96)</f>
        <v>0.37407692307692303</v>
      </c>
      <c r="AC96" s="266"/>
    </row>
    <row r="97" spans="1:29" ht="19" customHeight="1">
      <c r="B97" s="288"/>
      <c r="C97" s="272"/>
      <c r="L97" s="328"/>
      <c r="V97" s="252"/>
      <c r="W97" s="261"/>
      <c r="X97" s="261"/>
      <c r="Y97" s="257"/>
      <c r="Z97" s="397"/>
      <c r="AA97" s="397"/>
      <c r="AB97" s="324"/>
      <c r="AC97" s="266"/>
    </row>
    <row r="98" spans="1:29" ht="19" customHeight="1">
      <c r="A98" s="252" t="s">
        <v>1144</v>
      </c>
      <c r="B98" s="252" t="s">
        <v>2105</v>
      </c>
      <c r="C98" s="252">
        <v>2000</v>
      </c>
      <c r="E98" s="267">
        <v>57</v>
      </c>
      <c r="F98" s="252">
        <v>8.14</v>
      </c>
      <c r="G98" s="252">
        <v>0.3</v>
      </c>
      <c r="H98" s="252" t="s">
        <v>24</v>
      </c>
      <c r="I98" s="252" t="s">
        <v>2138</v>
      </c>
      <c r="L98" s="323" t="s">
        <v>1820</v>
      </c>
      <c r="M98" s="252">
        <v>466</v>
      </c>
      <c r="N98" s="252">
        <v>154</v>
      </c>
      <c r="O98" s="252" t="s">
        <v>24</v>
      </c>
      <c r="P98" s="319" t="s">
        <v>188</v>
      </c>
      <c r="R98" s="252" t="s">
        <v>1366</v>
      </c>
      <c r="U98" s="252" t="s">
        <v>2261</v>
      </c>
      <c r="V98" s="252">
        <v>-0.35</v>
      </c>
      <c r="W98" s="252">
        <v>-1</v>
      </c>
      <c r="X98" s="261">
        <v>1</v>
      </c>
      <c r="Y98" s="289">
        <f t="shared" ref="Y98:Y110" si="8">V98*W98</f>
        <v>0.35</v>
      </c>
      <c r="AB98" s="323"/>
      <c r="AC98" s="252"/>
    </row>
    <row r="99" spans="1:29" ht="19" customHeight="1">
      <c r="A99" s="252" t="s">
        <v>1144</v>
      </c>
      <c r="B99" s="272" t="s">
        <v>1827</v>
      </c>
      <c r="C99" s="272">
        <v>2000</v>
      </c>
      <c r="E99" s="267">
        <v>42</v>
      </c>
      <c r="F99" s="252">
        <v>14.7</v>
      </c>
      <c r="G99" s="252">
        <v>2.9</v>
      </c>
      <c r="H99" s="252" t="s">
        <v>1828</v>
      </c>
      <c r="I99" s="259" t="s">
        <v>924</v>
      </c>
      <c r="K99" s="252" t="s">
        <v>24</v>
      </c>
      <c r="L99" s="323" t="s">
        <v>1829</v>
      </c>
      <c r="M99" s="252" t="s">
        <v>1830</v>
      </c>
      <c r="N99" s="252" t="s">
        <v>1831</v>
      </c>
      <c r="O99" s="252" t="s">
        <v>24</v>
      </c>
      <c r="P99" s="319" t="s">
        <v>188</v>
      </c>
      <c r="R99" s="252" t="s">
        <v>1735</v>
      </c>
      <c r="V99" s="282">
        <v>-0.25</v>
      </c>
      <c r="W99" s="252">
        <v>-1</v>
      </c>
      <c r="X99" s="261">
        <v>1</v>
      </c>
      <c r="Y99" s="257">
        <f t="shared" si="8"/>
        <v>0.25</v>
      </c>
      <c r="Z99" s="397"/>
      <c r="AA99" s="397"/>
      <c r="AB99" s="323"/>
      <c r="AC99" s="252"/>
    </row>
    <row r="100" spans="1:29" ht="19" customHeight="1">
      <c r="A100" s="252" t="s">
        <v>1144</v>
      </c>
      <c r="B100" s="252" t="s">
        <v>1614</v>
      </c>
      <c r="C100" s="252">
        <v>2005</v>
      </c>
      <c r="E100" s="267">
        <v>42</v>
      </c>
      <c r="F100" s="252">
        <v>17.8</v>
      </c>
      <c r="G100" s="252">
        <v>2.7</v>
      </c>
      <c r="I100" s="259" t="s">
        <v>924</v>
      </c>
      <c r="K100" s="252" t="s">
        <v>1759</v>
      </c>
      <c r="L100" s="328" t="s">
        <v>711</v>
      </c>
      <c r="M100" s="283">
        <v>906</v>
      </c>
      <c r="N100" s="252">
        <v>396</v>
      </c>
      <c r="O100" s="252" t="s">
        <v>731</v>
      </c>
      <c r="P100" s="245" t="s">
        <v>188</v>
      </c>
      <c r="Q100" s="259"/>
      <c r="R100" s="259" t="s">
        <v>466</v>
      </c>
      <c r="S100" s="259"/>
      <c r="T100" s="259"/>
      <c r="V100" s="282">
        <v>-0.217</v>
      </c>
      <c r="W100" s="252">
        <v>-1</v>
      </c>
      <c r="X100" s="261">
        <v>1</v>
      </c>
      <c r="Y100" s="257">
        <f t="shared" si="8"/>
        <v>0.217</v>
      </c>
      <c r="Z100" s="397"/>
      <c r="AA100" s="397"/>
      <c r="AB100" s="324"/>
      <c r="AC100" s="266"/>
    </row>
    <row r="101" spans="1:29" ht="19" customHeight="1">
      <c r="A101" s="252" t="s">
        <v>1144</v>
      </c>
      <c r="B101" s="252" t="s">
        <v>1607</v>
      </c>
      <c r="C101" s="252">
        <v>2014</v>
      </c>
      <c r="D101" s="252" t="s">
        <v>939</v>
      </c>
      <c r="E101" s="267">
        <v>29</v>
      </c>
      <c r="F101" s="252">
        <f>(10+18)/2</f>
        <v>14</v>
      </c>
      <c r="G101" s="252">
        <f>(18-10)/4</f>
        <v>2</v>
      </c>
      <c r="H101" s="282"/>
      <c r="I101" s="259" t="s">
        <v>924</v>
      </c>
      <c r="K101" s="252" t="s">
        <v>1759</v>
      </c>
      <c r="L101" s="323" t="s">
        <v>940</v>
      </c>
      <c r="M101" s="283">
        <v>562.4</v>
      </c>
      <c r="N101" s="252">
        <v>290</v>
      </c>
      <c r="O101" s="252" t="s">
        <v>24</v>
      </c>
      <c r="P101" s="319" t="s">
        <v>188</v>
      </c>
      <c r="R101" s="32" t="s">
        <v>949</v>
      </c>
      <c r="T101" s="32"/>
      <c r="V101" s="282">
        <v>-0.23</v>
      </c>
      <c r="W101" s="252">
        <v>-1</v>
      </c>
      <c r="X101" s="261">
        <v>1</v>
      </c>
      <c r="Y101" s="257">
        <f t="shared" si="8"/>
        <v>0.23</v>
      </c>
      <c r="Z101" s="397"/>
      <c r="AA101" s="397"/>
      <c r="AB101" s="324"/>
      <c r="AC101" s="266"/>
    </row>
    <row r="102" spans="1:29" ht="19" customHeight="1">
      <c r="A102" s="252" t="s">
        <v>1144</v>
      </c>
      <c r="B102" s="252" t="s">
        <v>1818</v>
      </c>
      <c r="C102" s="252">
        <v>2008</v>
      </c>
      <c r="E102" s="267">
        <v>46</v>
      </c>
      <c r="F102" s="252">
        <v>7.5</v>
      </c>
      <c r="G102" s="252">
        <v>3.3</v>
      </c>
      <c r="H102" s="252" t="s">
        <v>1819</v>
      </c>
      <c r="I102" s="259" t="s">
        <v>924</v>
      </c>
      <c r="K102" s="252" t="s">
        <v>1759</v>
      </c>
      <c r="L102" s="323" t="s">
        <v>1820</v>
      </c>
      <c r="M102" s="283">
        <v>312</v>
      </c>
      <c r="N102" s="252">
        <v>132</v>
      </c>
      <c r="O102" s="252" t="s">
        <v>1821</v>
      </c>
      <c r="P102" s="319" t="s">
        <v>188</v>
      </c>
      <c r="R102" s="252" t="s">
        <v>1366</v>
      </c>
      <c r="V102" s="282">
        <v>-0.17</v>
      </c>
      <c r="W102" s="259">
        <v>-1</v>
      </c>
      <c r="X102" s="261">
        <v>1</v>
      </c>
      <c r="Y102" s="257">
        <f t="shared" si="8"/>
        <v>0.17</v>
      </c>
      <c r="Z102" s="397"/>
      <c r="AA102" s="397"/>
      <c r="AB102" s="324"/>
      <c r="AC102" s="266"/>
    </row>
    <row r="103" spans="1:29" ht="19" customHeight="1">
      <c r="A103" s="252" t="s">
        <v>1144</v>
      </c>
      <c r="B103" s="276" t="s">
        <v>287</v>
      </c>
      <c r="C103" s="272">
        <v>2014</v>
      </c>
      <c r="D103" s="272" t="s">
        <v>250</v>
      </c>
      <c r="E103" s="267">
        <v>17</v>
      </c>
      <c r="F103" s="272">
        <v>14.9</v>
      </c>
      <c r="G103" s="272">
        <v>3.28</v>
      </c>
      <c r="H103" s="276" t="s">
        <v>1823</v>
      </c>
      <c r="I103" s="272" t="s">
        <v>1767</v>
      </c>
      <c r="J103" s="272"/>
      <c r="K103" s="272" t="s">
        <v>24</v>
      </c>
      <c r="L103" s="328" t="s">
        <v>711</v>
      </c>
      <c r="M103" s="285">
        <v>697</v>
      </c>
      <c r="N103" s="272">
        <v>279</v>
      </c>
      <c r="O103" s="272" t="s">
        <v>1769</v>
      </c>
      <c r="P103" s="289" t="s">
        <v>188</v>
      </c>
      <c r="R103" s="272" t="s">
        <v>2282</v>
      </c>
      <c r="S103" s="275"/>
      <c r="T103" s="272"/>
      <c r="U103" s="272"/>
      <c r="V103" s="286">
        <v>-0.114</v>
      </c>
      <c r="W103" s="252">
        <v>-1</v>
      </c>
      <c r="X103" s="261">
        <v>1</v>
      </c>
      <c r="Y103" s="257">
        <f t="shared" si="8"/>
        <v>0.114</v>
      </c>
      <c r="Z103" s="397"/>
      <c r="AA103" s="397"/>
      <c r="AB103" s="324"/>
      <c r="AC103" s="266" t="s">
        <v>1374</v>
      </c>
    </row>
    <row r="104" spans="1:29" ht="19" customHeight="1">
      <c r="A104" s="252" t="s">
        <v>1144</v>
      </c>
      <c r="B104" s="252" t="s">
        <v>2094</v>
      </c>
      <c r="C104" s="252">
        <v>2017</v>
      </c>
      <c r="E104" s="267">
        <v>10</v>
      </c>
      <c r="F104" s="252">
        <v>12.5</v>
      </c>
      <c r="G104" s="252">
        <v>2.8</v>
      </c>
      <c r="H104" s="274" t="s">
        <v>1927</v>
      </c>
      <c r="I104" s="252" t="s">
        <v>1995</v>
      </c>
      <c r="K104" s="252" t="s">
        <v>1759</v>
      </c>
      <c r="L104" s="328" t="s">
        <v>711</v>
      </c>
      <c r="M104" s="283">
        <f>9.7*88.4</f>
        <v>857.48</v>
      </c>
      <c r="N104" s="283">
        <f>4.84*88.4</f>
        <v>427.85599999999999</v>
      </c>
      <c r="O104" s="252" t="s">
        <v>24</v>
      </c>
      <c r="P104" s="319" t="s">
        <v>188</v>
      </c>
      <c r="R104" s="252" t="s">
        <v>949</v>
      </c>
      <c r="V104" s="263">
        <v>-0.06</v>
      </c>
      <c r="W104" s="252">
        <v>-1</v>
      </c>
      <c r="X104" s="261">
        <v>1</v>
      </c>
      <c r="Y104" s="257">
        <f t="shared" si="8"/>
        <v>0.06</v>
      </c>
      <c r="Z104" s="397"/>
      <c r="AA104" s="397"/>
      <c r="AB104" s="323"/>
      <c r="AC104" s="252"/>
    </row>
    <row r="105" spans="1:29" ht="19" customHeight="1">
      <c r="A105" s="252" t="s">
        <v>1144</v>
      </c>
      <c r="B105" s="252" t="s">
        <v>2099</v>
      </c>
      <c r="C105" s="252">
        <v>2022</v>
      </c>
      <c r="E105" s="267">
        <v>44</v>
      </c>
      <c r="F105" s="252">
        <v>10.8</v>
      </c>
      <c r="G105" s="252">
        <v>2.9</v>
      </c>
      <c r="H105" s="274" t="s">
        <v>1925</v>
      </c>
      <c r="I105" s="252" t="s">
        <v>1995</v>
      </c>
      <c r="K105" s="252" t="s">
        <v>1759</v>
      </c>
      <c r="L105" s="328" t="s">
        <v>711</v>
      </c>
      <c r="M105" s="283">
        <v>413</v>
      </c>
      <c r="N105" s="252">
        <v>233</v>
      </c>
      <c r="O105" s="252" t="s">
        <v>2102</v>
      </c>
      <c r="P105" s="319" t="s">
        <v>188</v>
      </c>
      <c r="R105" s="252" t="s">
        <v>1366</v>
      </c>
      <c r="U105" s="252" t="s">
        <v>2103</v>
      </c>
      <c r="V105" s="297">
        <v>-9.6000000000000002E-2</v>
      </c>
      <c r="W105" s="252">
        <v>-1</v>
      </c>
      <c r="X105" s="261">
        <v>1</v>
      </c>
      <c r="Y105" s="257">
        <f t="shared" si="8"/>
        <v>9.6000000000000002E-2</v>
      </c>
      <c r="Z105" s="397">
        <f>AVERAGE(M98:M105)</f>
        <v>601.98285714285714</v>
      </c>
      <c r="AA105" s="397">
        <f>AVERAGE(N98:N105)</f>
        <v>273.12228571428574</v>
      </c>
      <c r="AB105" s="323"/>
      <c r="AC105" s="252"/>
    </row>
    <row r="106" spans="1:29" ht="19" customHeight="1">
      <c r="H106" s="274"/>
      <c r="L106" s="328"/>
      <c r="M106" s="283"/>
      <c r="V106" s="297"/>
      <c r="X106" s="261"/>
      <c r="Y106" s="257"/>
      <c r="Z106" s="397"/>
      <c r="AA106" s="397"/>
      <c r="AB106" s="323"/>
      <c r="AC106" s="252"/>
    </row>
    <row r="107" spans="1:29" ht="19" customHeight="1">
      <c r="A107" s="252" t="s">
        <v>1757</v>
      </c>
      <c r="B107" s="272" t="s">
        <v>1824</v>
      </c>
      <c r="C107" s="272">
        <v>2019</v>
      </c>
      <c r="E107" s="267">
        <v>28</v>
      </c>
      <c r="F107" s="252">
        <v>11.7</v>
      </c>
      <c r="G107" s="252">
        <v>4.3</v>
      </c>
      <c r="H107" s="274" t="s">
        <v>1825</v>
      </c>
      <c r="I107" s="259" t="s">
        <v>924</v>
      </c>
      <c r="K107" s="252" t="s">
        <v>1826</v>
      </c>
      <c r="L107" s="328" t="s">
        <v>711</v>
      </c>
      <c r="M107" s="283">
        <v>528</v>
      </c>
      <c r="N107" s="252">
        <v>312</v>
      </c>
      <c r="O107" s="252" t="s">
        <v>24</v>
      </c>
      <c r="P107" s="319" t="s">
        <v>188</v>
      </c>
      <c r="R107" s="252" t="s">
        <v>1733</v>
      </c>
      <c r="V107" s="282">
        <v>-0.77700000000000002</v>
      </c>
      <c r="W107" s="252">
        <v>-1</v>
      </c>
      <c r="X107" s="261">
        <v>1</v>
      </c>
      <c r="Y107" s="257">
        <f t="shared" si="8"/>
        <v>0.77700000000000002</v>
      </c>
      <c r="Z107" s="397"/>
      <c r="AA107" s="397"/>
      <c r="AB107" s="323"/>
      <c r="AC107" s="252"/>
    </row>
    <row r="108" spans="1:29" ht="19" customHeight="1">
      <c r="A108" s="252" t="s">
        <v>1757</v>
      </c>
      <c r="B108" s="252" t="s">
        <v>933</v>
      </c>
      <c r="C108" s="252">
        <v>2013</v>
      </c>
      <c r="E108" s="267">
        <v>12</v>
      </c>
      <c r="F108" s="252">
        <v>23.6</v>
      </c>
      <c r="G108" s="252">
        <v>8.8000000000000007</v>
      </c>
      <c r="H108" s="274" t="s">
        <v>1813</v>
      </c>
      <c r="I108" s="259" t="s">
        <v>924</v>
      </c>
      <c r="K108" s="252" t="s">
        <v>1759</v>
      </c>
      <c r="L108" s="323" t="s">
        <v>1800</v>
      </c>
      <c r="M108" s="252">
        <v>827</v>
      </c>
      <c r="N108" s="252">
        <v>399</v>
      </c>
      <c r="O108" s="252" t="s">
        <v>1801</v>
      </c>
      <c r="P108" s="319" t="s">
        <v>188</v>
      </c>
      <c r="R108" s="252" t="s">
        <v>949</v>
      </c>
      <c r="U108" s="252" t="s">
        <v>1814</v>
      </c>
      <c r="V108" s="282">
        <v>-0.78</v>
      </c>
      <c r="W108" s="259">
        <v>-1</v>
      </c>
      <c r="X108" s="261">
        <v>1</v>
      </c>
      <c r="Y108" s="257">
        <f t="shared" si="8"/>
        <v>0.78</v>
      </c>
      <c r="Z108" s="397"/>
      <c r="AA108" s="397"/>
      <c r="AB108" s="324"/>
      <c r="AC108" s="266"/>
    </row>
    <row r="109" spans="1:29" ht="19" customHeight="1">
      <c r="A109" s="252" t="s">
        <v>1757</v>
      </c>
      <c r="B109" s="252" t="s">
        <v>2032</v>
      </c>
      <c r="C109" s="252">
        <v>1996</v>
      </c>
      <c r="E109" s="267">
        <v>67</v>
      </c>
      <c r="F109" s="263">
        <f>15+2</f>
        <v>17</v>
      </c>
      <c r="G109" s="252" t="s">
        <v>24</v>
      </c>
      <c r="H109" s="252" t="s">
        <v>1187</v>
      </c>
      <c r="I109" s="259" t="s">
        <v>924</v>
      </c>
      <c r="K109" s="252" t="s">
        <v>24</v>
      </c>
      <c r="L109" s="323" t="s">
        <v>2257</v>
      </c>
      <c r="M109" s="252">
        <v>905</v>
      </c>
      <c r="N109" s="252">
        <v>300</v>
      </c>
      <c r="O109" s="252" t="s">
        <v>24</v>
      </c>
      <c r="P109" s="319" t="s">
        <v>188</v>
      </c>
      <c r="R109" s="252" t="s">
        <v>2270</v>
      </c>
      <c r="V109" s="282">
        <v>-0.1</v>
      </c>
      <c r="W109" s="252">
        <v>-1</v>
      </c>
      <c r="X109" s="261">
        <v>1</v>
      </c>
      <c r="Y109" s="257">
        <f t="shared" si="8"/>
        <v>0.1</v>
      </c>
      <c r="Z109" s="397"/>
      <c r="AA109" s="397"/>
      <c r="AC109" s="266"/>
    </row>
    <row r="110" spans="1:29" ht="19" customHeight="1">
      <c r="A110" s="252" t="s">
        <v>1757</v>
      </c>
      <c r="B110" s="288" t="s">
        <v>2156</v>
      </c>
      <c r="C110" s="252">
        <v>2017</v>
      </c>
      <c r="D110" s="272" t="s">
        <v>2200</v>
      </c>
      <c r="E110" s="267">
        <v>10</v>
      </c>
      <c r="F110" s="263">
        <v>12.5</v>
      </c>
      <c r="G110" s="252">
        <v>2.8</v>
      </c>
      <c r="H110" s="274" t="s">
        <v>2204</v>
      </c>
      <c r="I110" s="259" t="s">
        <v>67</v>
      </c>
      <c r="K110" s="252" t="s">
        <v>1759</v>
      </c>
      <c r="L110" s="323" t="s">
        <v>711</v>
      </c>
      <c r="M110" s="283">
        <v>857.48</v>
      </c>
      <c r="N110" s="252">
        <v>293</v>
      </c>
      <c r="O110" s="252" t="s">
        <v>24</v>
      </c>
      <c r="P110" s="319" t="s">
        <v>188</v>
      </c>
      <c r="R110" s="252" t="s">
        <v>2205</v>
      </c>
      <c r="V110" s="282">
        <v>-0.06</v>
      </c>
      <c r="W110" s="252">
        <v>-1</v>
      </c>
      <c r="X110" s="261">
        <v>1</v>
      </c>
      <c r="Y110" s="257">
        <f t="shared" si="8"/>
        <v>0.06</v>
      </c>
      <c r="Z110" s="397"/>
      <c r="AA110" s="397"/>
      <c r="AB110" s="324"/>
      <c r="AC110" s="266"/>
    </row>
    <row r="111" spans="1:29" ht="19" customHeight="1">
      <c r="A111" s="252" t="s">
        <v>1757</v>
      </c>
      <c r="B111" s="252" t="s">
        <v>2088</v>
      </c>
      <c r="C111" s="252">
        <v>2011</v>
      </c>
      <c r="E111" s="267">
        <v>55</v>
      </c>
      <c r="F111" s="252">
        <v>11.04</v>
      </c>
      <c r="G111" s="252">
        <v>4.59</v>
      </c>
      <c r="H111" s="274" t="s">
        <v>2089</v>
      </c>
      <c r="I111" s="252" t="s">
        <v>2091</v>
      </c>
      <c r="K111" s="252" t="s">
        <v>1759</v>
      </c>
      <c r="L111" s="328" t="s">
        <v>711</v>
      </c>
      <c r="M111" s="252">
        <v>592</v>
      </c>
      <c r="N111" s="252">
        <v>355</v>
      </c>
      <c r="O111" s="252" t="s">
        <v>2090</v>
      </c>
      <c r="P111" s="319" t="s">
        <v>188</v>
      </c>
      <c r="Q111" s="252" t="s">
        <v>2112</v>
      </c>
      <c r="R111" s="252" t="s">
        <v>2266</v>
      </c>
      <c r="S111" s="252" t="s">
        <v>2113</v>
      </c>
      <c r="T111" s="323"/>
      <c r="U111" s="323" t="s">
        <v>2265</v>
      </c>
      <c r="V111" s="252" t="s">
        <v>2114</v>
      </c>
      <c r="W111" s="252">
        <v>-1</v>
      </c>
      <c r="X111" s="261">
        <v>1</v>
      </c>
      <c r="Y111" s="262">
        <v>0.24399999999999999</v>
      </c>
      <c r="AB111" s="323"/>
      <c r="AC111" s="252"/>
    </row>
    <row r="112" spans="1:29" ht="19" customHeight="1">
      <c r="A112" s="252" t="s">
        <v>1757</v>
      </c>
      <c r="B112" s="252" t="s">
        <v>2088</v>
      </c>
      <c r="C112" s="252">
        <v>2011</v>
      </c>
      <c r="E112" s="267">
        <v>55</v>
      </c>
      <c r="F112" s="252">
        <v>11.04</v>
      </c>
      <c r="G112" s="252">
        <v>4.59</v>
      </c>
      <c r="H112" s="274" t="s">
        <v>2089</v>
      </c>
      <c r="I112" s="252" t="s">
        <v>2091</v>
      </c>
      <c r="K112" s="252" t="s">
        <v>1759</v>
      </c>
      <c r="L112" s="328" t="s">
        <v>711</v>
      </c>
      <c r="M112" s="252">
        <v>592</v>
      </c>
      <c r="N112" s="252">
        <v>355</v>
      </c>
      <c r="O112" s="252" t="s">
        <v>2090</v>
      </c>
      <c r="P112" s="319" t="s">
        <v>188</v>
      </c>
      <c r="Q112" s="252" t="s">
        <v>613</v>
      </c>
      <c r="R112" s="252" t="s">
        <v>2266</v>
      </c>
      <c r="S112" s="252" t="s">
        <v>2115</v>
      </c>
      <c r="T112" s="323"/>
      <c r="U112" s="323" t="s">
        <v>2116</v>
      </c>
      <c r="V112" s="252" t="s">
        <v>2117</v>
      </c>
      <c r="W112" s="252">
        <v>-1</v>
      </c>
      <c r="X112" s="261">
        <v>1</v>
      </c>
      <c r="Y112" s="262">
        <v>7.5999999999999998E-2</v>
      </c>
      <c r="AB112" s="323"/>
      <c r="AC112" s="252"/>
    </row>
    <row r="113" spans="1:35" ht="19" customHeight="1">
      <c r="A113" s="252" t="s">
        <v>1757</v>
      </c>
      <c r="B113" s="252" t="s">
        <v>2088</v>
      </c>
      <c r="C113" s="252">
        <v>2011</v>
      </c>
      <c r="E113" s="267">
        <v>55</v>
      </c>
      <c r="F113" s="252">
        <v>11.04</v>
      </c>
      <c r="G113" s="252">
        <v>4.59</v>
      </c>
      <c r="H113" s="274" t="s">
        <v>2089</v>
      </c>
      <c r="I113" s="252" t="s">
        <v>2091</v>
      </c>
      <c r="K113" s="252" t="s">
        <v>1759</v>
      </c>
      <c r="L113" s="328" t="s">
        <v>711</v>
      </c>
      <c r="M113" s="252">
        <v>592</v>
      </c>
      <c r="N113" s="252">
        <v>355</v>
      </c>
      <c r="O113" s="252" t="s">
        <v>2090</v>
      </c>
      <c r="P113" s="319" t="s">
        <v>188</v>
      </c>
      <c r="Q113" s="252" t="s">
        <v>2109</v>
      </c>
      <c r="R113" s="252" t="s">
        <v>2266</v>
      </c>
      <c r="S113" s="334"/>
      <c r="T113" s="323"/>
      <c r="U113" s="323" t="s">
        <v>2110</v>
      </c>
      <c r="V113" s="252" t="s">
        <v>2111</v>
      </c>
      <c r="W113" s="252">
        <v>-1</v>
      </c>
      <c r="X113" s="261">
        <v>1</v>
      </c>
      <c r="Y113" s="262">
        <v>0.17299999999999999</v>
      </c>
      <c r="Z113" s="397"/>
      <c r="AA113" s="397"/>
      <c r="AB113" s="322">
        <f>AVERAGE(Y98:Y113)</f>
        <v>0.24646666666666669</v>
      </c>
      <c r="AC113" s="252"/>
    </row>
    <row r="114" spans="1:35" ht="19" customHeight="1">
      <c r="A114" s="252" t="s">
        <v>1757</v>
      </c>
      <c r="B114" s="252" t="s">
        <v>2088</v>
      </c>
      <c r="C114" s="252">
        <v>2011</v>
      </c>
      <c r="E114" s="267">
        <v>55</v>
      </c>
      <c r="F114" s="252">
        <v>11.04</v>
      </c>
      <c r="G114" s="252">
        <v>4.59</v>
      </c>
      <c r="H114" s="274" t="s">
        <v>2089</v>
      </c>
      <c r="I114" s="252" t="s">
        <v>2091</v>
      </c>
      <c r="K114" s="252" t="s">
        <v>1759</v>
      </c>
      <c r="L114" s="328" t="s">
        <v>711</v>
      </c>
      <c r="M114" s="252">
        <v>592</v>
      </c>
      <c r="N114" s="252">
        <v>355</v>
      </c>
      <c r="O114" s="252" t="s">
        <v>2090</v>
      </c>
      <c r="P114" s="319" t="s">
        <v>188</v>
      </c>
      <c r="Q114" s="252" t="s">
        <v>2106</v>
      </c>
      <c r="R114" s="252" t="s">
        <v>2107</v>
      </c>
      <c r="S114" s="334"/>
      <c r="T114" s="323"/>
      <c r="U114" s="323" t="s">
        <v>2108</v>
      </c>
      <c r="V114" s="252">
        <v>9.8000000000000004E-2</v>
      </c>
      <c r="W114" s="252">
        <v>-1</v>
      </c>
      <c r="X114" s="261">
        <v>0</v>
      </c>
      <c r="Y114" s="339">
        <f>V114*W114</f>
        <v>-9.8000000000000004E-2</v>
      </c>
      <c r="AB114" s="324" t="s">
        <v>2306</v>
      </c>
      <c r="AC114" s="252"/>
    </row>
    <row r="115" spans="1:35" ht="19" customHeight="1">
      <c r="H115" s="274"/>
      <c r="L115" s="328"/>
      <c r="S115" s="334"/>
      <c r="T115" s="323"/>
      <c r="U115" s="323"/>
      <c r="V115" s="252"/>
      <c r="X115" s="261"/>
      <c r="AB115" s="324"/>
      <c r="AC115" s="252"/>
    </row>
    <row r="116" spans="1:35" ht="19" customHeight="1">
      <c r="A116" s="252" t="s">
        <v>925</v>
      </c>
      <c r="B116" s="259" t="s">
        <v>1609</v>
      </c>
      <c r="C116" s="259">
        <v>2017</v>
      </c>
      <c r="D116" s="259"/>
      <c r="E116" s="382">
        <v>37</v>
      </c>
      <c r="F116" s="259">
        <v>27.5</v>
      </c>
      <c r="G116" s="259">
        <v>7.3</v>
      </c>
      <c r="H116" s="259"/>
      <c r="I116" s="259" t="s">
        <v>924</v>
      </c>
      <c r="J116" s="32"/>
      <c r="K116" s="259" t="s">
        <v>938</v>
      </c>
      <c r="L116" s="328" t="s">
        <v>711</v>
      </c>
      <c r="M116" s="259">
        <v>822</v>
      </c>
      <c r="N116" s="259">
        <v>324</v>
      </c>
      <c r="O116" s="259" t="s">
        <v>1475</v>
      </c>
      <c r="P116" s="245" t="s">
        <v>1169</v>
      </c>
      <c r="Q116" s="259" t="s">
        <v>207</v>
      </c>
      <c r="R116" s="252" t="s">
        <v>1262</v>
      </c>
      <c r="S116" s="259" t="s">
        <v>1009</v>
      </c>
      <c r="T116" s="259"/>
      <c r="U116" s="259"/>
      <c r="V116" s="260">
        <v>0.3</v>
      </c>
      <c r="W116" s="259">
        <v>1</v>
      </c>
      <c r="X116" s="261">
        <v>1</v>
      </c>
      <c r="Y116" s="257">
        <f>V116*W116</f>
        <v>0.3</v>
      </c>
      <c r="Z116" s="397"/>
      <c r="AA116" s="397"/>
      <c r="AB116" s="324"/>
      <c r="AC116" s="266"/>
      <c r="AD116" s="328"/>
      <c r="AE116" s="259"/>
      <c r="AF116" s="259"/>
      <c r="AG116" s="259"/>
      <c r="AH116" s="259"/>
      <c r="AI116" s="259"/>
    </row>
    <row r="117" spans="1:35" ht="19" customHeight="1">
      <c r="A117" s="252" t="s">
        <v>925</v>
      </c>
      <c r="B117" s="259" t="s">
        <v>1609</v>
      </c>
      <c r="C117" s="259">
        <v>2017</v>
      </c>
      <c r="D117" s="259"/>
      <c r="E117" s="382">
        <v>37</v>
      </c>
      <c r="F117" s="259">
        <v>27.5</v>
      </c>
      <c r="G117" s="259">
        <v>7.3</v>
      </c>
      <c r="H117" s="259"/>
      <c r="I117" s="259" t="s">
        <v>924</v>
      </c>
      <c r="J117" s="32"/>
      <c r="K117" s="259" t="s">
        <v>938</v>
      </c>
      <c r="L117" s="328" t="s">
        <v>711</v>
      </c>
      <c r="M117" s="259">
        <v>822</v>
      </c>
      <c r="N117" s="259">
        <v>324</v>
      </c>
      <c r="O117" s="259" t="s">
        <v>1475</v>
      </c>
      <c r="P117" s="245" t="s">
        <v>1169</v>
      </c>
      <c r="Q117" s="259" t="s">
        <v>207</v>
      </c>
      <c r="R117" s="252" t="s">
        <v>1262</v>
      </c>
      <c r="S117" s="259" t="s">
        <v>1470</v>
      </c>
      <c r="T117" s="259"/>
      <c r="U117" s="259"/>
      <c r="V117" s="264">
        <v>0.06</v>
      </c>
      <c r="W117" s="259">
        <v>1</v>
      </c>
      <c r="X117" s="261">
        <v>1</v>
      </c>
      <c r="Y117" s="257">
        <f>V117*W117</f>
        <v>0.06</v>
      </c>
      <c r="Z117" s="397"/>
      <c r="AA117" s="397"/>
      <c r="AB117" s="337"/>
      <c r="AC117" s="266"/>
      <c r="AE117" s="269"/>
      <c r="AF117" s="269"/>
      <c r="AG117" s="269"/>
      <c r="AH117" s="259"/>
      <c r="AI117" s="259"/>
    </row>
    <row r="118" spans="1:35" ht="19" customHeight="1">
      <c r="A118" s="252" t="s">
        <v>925</v>
      </c>
      <c r="B118" s="259" t="s">
        <v>1609</v>
      </c>
      <c r="C118" s="259">
        <v>2017</v>
      </c>
      <c r="D118" s="259"/>
      <c r="E118" s="382">
        <v>37</v>
      </c>
      <c r="F118" s="259">
        <v>27.5</v>
      </c>
      <c r="G118" s="259">
        <v>7.3</v>
      </c>
      <c r="H118" s="259"/>
      <c r="I118" s="259" t="s">
        <v>924</v>
      </c>
      <c r="J118" s="32"/>
      <c r="K118" s="259" t="s">
        <v>938</v>
      </c>
      <c r="L118" s="328" t="s">
        <v>711</v>
      </c>
      <c r="M118" s="259">
        <v>822</v>
      </c>
      <c r="N118" s="259">
        <v>324</v>
      </c>
      <c r="O118" s="259" t="s">
        <v>1475</v>
      </c>
      <c r="P118" s="245" t="s">
        <v>1169</v>
      </c>
      <c r="Q118" s="259" t="s">
        <v>207</v>
      </c>
      <c r="R118" s="252" t="s">
        <v>1588</v>
      </c>
      <c r="S118" s="259" t="s">
        <v>1472</v>
      </c>
      <c r="T118" s="259" t="s">
        <v>1215</v>
      </c>
      <c r="U118" s="259"/>
      <c r="V118" s="260">
        <v>-0.09</v>
      </c>
      <c r="W118" s="259">
        <v>1</v>
      </c>
      <c r="X118" s="261">
        <v>1</v>
      </c>
      <c r="Y118" s="257">
        <f>V118*W118</f>
        <v>-0.09</v>
      </c>
      <c r="Z118" s="397"/>
      <c r="AA118" s="397"/>
      <c r="AB118" s="324"/>
      <c r="AC118" s="266"/>
      <c r="AD118" s="328"/>
      <c r="AE118" s="259"/>
      <c r="AF118" s="259"/>
      <c r="AG118" s="259"/>
      <c r="AH118" s="259"/>
      <c r="AI118" s="259"/>
    </row>
    <row r="119" spans="1:35" ht="19" customHeight="1">
      <c r="A119" s="252" t="s">
        <v>925</v>
      </c>
      <c r="B119" s="259" t="s">
        <v>1609</v>
      </c>
      <c r="C119" s="259">
        <v>2017</v>
      </c>
      <c r="D119" s="259"/>
      <c r="E119" s="382">
        <v>37</v>
      </c>
      <c r="F119" s="259">
        <v>27.5</v>
      </c>
      <c r="G119" s="259">
        <v>7.3</v>
      </c>
      <c r="H119" s="259"/>
      <c r="I119" s="259" t="s">
        <v>924</v>
      </c>
      <c r="J119" s="32"/>
      <c r="K119" s="259" t="s">
        <v>938</v>
      </c>
      <c r="L119" s="328" t="s">
        <v>711</v>
      </c>
      <c r="M119" s="259">
        <v>822</v>
      </c>
      <c r="N119" s="259">
        <v>324</v>
      </c>
      <c r="O119" s="259" t="s">
        <v>1475</v>
      </c>
      <c r="P119" s="245" t="s">
        <v>1169</v>
      </c>
      <c r="Q119" s="259" t="s">
        <v>207</v>
      </c>
      <c r="R119" s="252" t="s">
        <v>167</v>
      </c>
      <c r="S119" s="259" t="s">
        <v>1472</v>
      </c>
      <c r="T119" s="259" t="s">
        <v>1215</v>
      </c>
      <c r="U119" s="259"/>
      <c r="V119" s="264">
        <v>0.16</v>
      </c>
      <c r="W119" s="259">
        <v>1</v>
      </c>
      <c r="X119" s="261">
        <v>1</v>
      </c>
      <c r="Y119" s="257">
        <f>V119*W119</f>
        <v>0.16</v>
      </c>
      <c r="Z119" s="397"/>
      <c r="AA119" s="397"/>
      <c r="AB119" s="324"/>
      <c r="AC119" s="266"/>
      <c r="AD119" s="328"/>
      <c r="AE119" s="259"/>
      <c r="AF119" s="259"/>
      <c r="AG119" s="259"/>
      <c r="AH119" s="259"/>
      <c r="AI119" s="259"/>
    </row>
    <row r="120" spans="1:35" ht="19" customHeight="1">
      <c r="A120" s="252" t="s">
        <v>925</v>
      </c>
      <c r="B120" s="259" t="s">
        <v>1609</v>
      </c>
      <c r="C120" s="259">
        <v>2017</v>
      </c>
      <c r="D120" s="259"/>
      <c r="E120" s="382">
        <v>37</v>
      </c>
      <c r="F120" s="259">
        <v>27.5</v>
      </c>
      <c r="G120" s="259">
        <v>7.3</v>
      </c>
      <c r="H120" s="259"/>
      <c r="I120" s="259" t="s">
        <v>924</v>
      </c>
      <c r="J120" s="32"/>
      <c r="K120" s="259" t="s">
        <v>938</v>
      </c>
      <c r="L120" s="328" t="s">
        <v>711</v>
      </c>
      <c r="M120" s="259">
        <v>822</v>
      </c>
      <c r="N120" s="259">
        <v>324</v>
      </c>
      <c r="O120" s="259" t="s">
        <v>1475</v>
      </c>
      <c r="P120" s="245" t="s">
        <v>1169</v>
      </c>
      <c r="Q120" s="259"/>
      <c r="R120" s="259" t="s">
        <v>754</v>
      </c>
      <c r="S120" s="259"/>
      <c r="T120" s="259"/>
      <c r="U120" s="259" t="s">
        <v>970</v>
      </c>
      <c r="V120" s="264">
        <v>-0.25</v>
      </c>
      <c r="W120" s="259">
        <v>-1</v>
      </c>
      <c r="X120" s="261">
        <v>1</v>
      </c>
      <c r="Y120" s="257">
        <f>V120*W120</f>
        <v>0.25</v>
      </c>
      <c r="Z120" s="397">
        <f>AVERAGE(M116:M120)</f>
        <v>822</v>
      </c>
      <c r="AA120" s="397">
        <f>AVERAGE(N116:N120)</f>
        <v>324</v>
      </c>
      <c r="AB120" s="324"/>
      <c r="AC120" s="266"/>
      <c r="AD120" s="328"/>
      <c r="AE120" s="259"/>
      <c r="AF120" s="259"/>
      <c r="AG120" s="259"/>
      <c r="AH120" s="259"/>
      <c r="AI120" s="259"/>
    </row>
    <row r="121" spans="1:35" ht="18.75" customHeight="1">
      <c r="B121" s="259"/>
      <c r="C121" s="259"/>
      <c r="D121" s="259"/>
      <c r="E121" s="382"/>
      <c r="F121" s="259"/>
      <c r="G121" s="259"/>
      <c r="H121" s="259"/>
      <c r="I121" s="259"/>
      <c r="J121" s="32"/>
      <c r="K121" s="259"/>
      <c r="L121" s="328"/>
      <c r="M121" s="259"/>
      <c r="N121" s="259"/>
      <c r="O121" s="259"/>
      <c r="P121" s="245"/>
      <c r="Q121" s="259"/>
      <c r="R121" s="259"/>
      <c r="S121" s="259"/>
      <c r="T121" s="259"/>
      <c r="U121" s="259"/>
      <c r="V121" s="264"/>
      <c r="W121" s="259"/>
      <c r="X121" s="261"/>
      <c r="Y121" s="257"/>
      <c r="Z121" s="397"/>
      <c r="AA121" s="397"/>
      <c r="AB121" s="324"/>
      <c r="AC121" s="266"/>
      <c r="AD121" s="328"/>
      <c r="AE121" s="259"/>
      <c r="AF121" s="259"/>
      <c r="AG121" s="259"/>
      <c r="AH121" s="259"/>
      <c r="AI121" s="259"/>
    </row>
    <row r="122" spans="1:35" ht="19" customHeight="1">
      <c r="A122" s="252" t="s">
        <v>1144</v>
      </c>
      <c r="B122" s="252" t="s">
        <v>1607</v>
      </c>
      <c r="C122" s="252">
        <v>2014</v>
      </c>
      <c r="E122" s="267">
        <v>19</v>
      </c>
      <c r="F122" s="252">
        <v>14</v>
      </c>
      <c r="G122" s="252">
        <f>(18-10)/4</f>
        <v>2</v>
      </c>
      <c r="H122" s="270" t="s">
        <v>763</v>
      </c>
      <c r="I122" s="259" t="s">
        <v>924</v>
      </c>
      <c r="L122" s="323" t="s">
        <v>2327</v>
      </c>
      <c r="M122" s="252">
        <v>550.5</v>
      </c>
      <c r="N122" s="252">
        <v>260</v>
      </c>
      <c r="O122" s="252" t="s">
        <v>1960</v>
      </c>
      <c r="P122" s="245" t="s">
        <v>1169</v>
      </c>
      <c r="Q122" s="259"/>
      <c r="R122" s="252" t="s">
        <v>754</v>
      </c>
      <c r="V122" s="260">
        <v>-0.03</v>
      </c>
      <c r="W122" s="252">
        <v>-1</v>
      </c>
      <c r="X122" s="381">
        <v>0</v>
      </c>
      <c r="Y122" s="284">
        <f>V122*W122</f>
        <v>0.03</v>
      </c>
      <c r="Z122" s="397"/>
      <c r="AA122" s="397"/>
      <c r="AB122" s="324" t="s">
        <v>2309</v>
      </c>
      <c r="AC122" s="266"/>
      <c r="AD122" s="323" t="s">
        <v>1179</v>
      </c>
    </row>
    <row r="123" spans="1:35" ht="19" customHeight="1">
      <c r="A123" s="252" t="s">
        <v>1144</v>
      </c>
      <c r="B123" s="252" t="s">
        <v>1607</v>
      </c>
      <c r="C123" s="252">
        <v>2014</v>
      </c>
      <c r="D123" s="252" t="s">
        <v>939</v>
      </c>
      <c r="E123" s="267">
        <v>29</v>
      </c>
      <c r="F123" s="252">
        <f>(10+18)/2</f>
        <v>14</v>
      </c>
      <c r="G123" s="252">
        <f>(18-10)/4</f>
        <v>2</v>
      </c>
      <c r="H123" s="282"/>
      <c r="I123" s="259" t="s">
        <v>924</v>
      </c>
      <c r="L123" s="323" t="s">
        <v>940</v>
      </c>
      <c r="M123" s="252">
        <v>562.4</v>
      </c>
      <c r="N123" s="252">
        <v>290</v>
      </c>
      <c r="O123" s="252" t="s">
        <v>24</v>
      </c>
      <c r="P123" s="245" t="s">
        <v>1169</v>
      </c>
      <c r="R123" s="32" t="s">
        <v>754</v>
      </c>
      <c r="T123" s="32"/>
      <c r="V123" s="260">
        <v>-0.03</v>
      </c>
      <c r="W123" s="252">
        <v>-1</v>
      </c>
      <c r="X123" s="261">
        <v>1</v>
      </c>
      <c r="Y123" s="257">
        <f t="shared" ref="Y123:Y132" si="9">V123*W123</f>
        <v>0.03</v>
      </c>
      <c r="Z123" s="397"/>
      <c r="AA123" s="397"/>
      <c r="AB123" s="324"/>
      <c r="AC123" s="266"/>
    </row>
    <row r="124" spans="1:35" ht="19" customHeight="1">
      <c r="A124" s="252" t="s">
        <v>1144</v>
      </c>
      <c r="B124" s="252" t="s">
        <v>1614</v>
      </c>
      <c r="C124" s="252">
        <v>2005</v>
      </c>
      <c r="E124" s="267">
        <v>42</v>
      </c>
      <c r="F124" s="252">
        <v>17.8</v>
      </c>
      <c r="G124" s="252">
        <v>2.7</v>
      </c>
      <c r="I124" s="259" t="s">
        <v>924</v>
      </c>
      <c r="L124" s="328" t="s">
        <v>711</v>
      </c>
      <c r="M124" s="252">
        <v>906</v>
      </c>
      <c r="N124" s="252">
        <v>396</v>
      </c>
      <c r="O124" s="252" t="s">
        <v>731</v>
      </c>
      <c r="P124" s="245" t="s">
        <v>1169</v>
      </c>
      <c r="Q124" s="259" t="s">
        <v>206</v>
      </c>
      <c r="R124" s="252" t="s">
        <v>1262</v>
      </c>
      <c r="S124" s="32" t="s">
        <v>1008</v>
      </c>
      <c r="T124" s="32"/>
      <c r="U124" s="32" t="s">
        <v>2273</v>
      </c>
      <c r="V124" s="260">
        <v>3.5999999999999997E-2</v>
      </c>
      <c r="W124" s="252">
        <v>1</v>
      </c>
      <c r="X124" s="261">
        <v>1</v>
      </c>
      <c r="Y124" s="257">
        <f t="shared" si="9"/>
        <v>3.5999999999999997E-2</v>
      </c>
      <c r="Z124" s="397">
        <f>AVERAGE(M123:M124)</f>
        <v>734.2</v>
      </c>
      <c r="AA124" s="397">
        <f>AVERAGE(N123:N124)</f>
        <v>343</v>
      </c>
      <c r="AB124" s="324"/>
      <c r="AC124" s="266"/>
    </row>
    <row r="125" spans="1:35" ht="19" customHeight="1">
      <c r="I125" s="259"/>
      <c r="L125" s="328"/>
      <c r="P125" s="245"/>
      <c r="Q125" s="259"/>
      <c r="T125" s="32"/>
      <c r="U125" s="32"/>
      <c r="X125" s="261"/>
      <c r="Y125" s="257"/>
      <c r="Z125" s="397"/>
      <c r="AA125" s="397"/>
      <c r="AB125" s="324"/>
      <c r="AC125" s="266"/>
    </row>
    <row r="126" spans="1:35" ht="19" customHeight="1">
      <c r="A126" s="252" t="s">
        <v>925</v>
      </c>
      <c r="B126" s="259" t="s">
        <v>1609</v>
      </c>
      <c r="C126" s="259">
        <v>2017</v>
      </c>
      <c r="D126" s="259"/>
      <c r="E126" s="382">
        <v>37</v>
      </c>
      <c r="F126" s="259">
        <v>27.5</v>
      </c>
      <c r="G126" s="259">
        <v>7.3</v>
      </c>
      <c r="H126" s="259"/>
      <c r="I126" s="259" t="s">
        <v>924</v>
      </c>
      <c r="J126" s="32"/>
      <c r="K126" s="259" t="s">
        <v>938</v>
      </c>
      <c r="L126" s="328" t="s">
        <v>711</v>
      </c>
      <c r="M126" s="259">
        <v>822</v>
      </c>
      <c r="N126" s="259">
        <v>324</v>
      </c>
      <c r="O126" s="259" t="s">
        <v>1475</v>
      </c>
      <c r="P126" s="245" t="s">
        <v>1010</v>
      </c>
      <c r="Q126" s="259" t="s">
        <v>206</v>
      </c>
      <c r="R126" s="252" t="s">
        <v>1262</v>
      </c>
      <c r="S126" s="259" t="s">
        <v>1011</v>
      </c>
      <c r="T126" s="259"/>
      <c r="U126" s="259"/>
      <c r="V126" s="264">
        <v>0.1</v>
      </c>
      <c r="W126" s="259">
        <v>1</v>
      </c>
      <c r="X126" s="261">
        <v>1</v>
      </c>
      <c r="Y126" s="257">
        <f t="shared" si="9"/>
        <v>0.1</v>
      </c>
      <c r="Z126" s="397"/>
      <c r="AA126" s="397"/>
      <c r="AB126" s="324"/>
      <c r="AC126" s="266"/>
      <c r="AD126" s="328"/>
      <c r="AE126" s="259"/>
      <c r="AF126" s="259"/>
      <c r="AG126" s="259"/>
      <c r="AH126" s="259"/>
      <c r="AI126" s="259"/>
    </row>
    <row r="127" spans="1:35" ht="19" customHeight="1">
      <c r="A127" s="252" t="s">
        <v>925</v>
      </c>
      <c r="B127" s="259" t="s">
        <v>1609</v>
      </c>
      <c r="C127" s="259">
        <v>2017</v>
      </c>
      <c r="D127" s="259"/>
      <c r="E127" s="382">
        <v>37</v>
      </c>
      <c r="F127" s="259">
        <v>27.5</v>
      </c>
      <c r="G127" s="259">
        <v>7.3</v>
      </c>
      <c r="H127" s="259"/>
      <c r="I127" s="259" t="s">
        <v>924</v>
      </c>
      <c r="J127" s="32"/>
      <c r="K127" s="259" t="s">
        <v>938</v>
      </c>
      <c r="L127" s="328" t="s">
        <v>711</v>
      </c>
      <c r="M127" s="259">
        <v>822</v>
      </c>
      <c r="N127" s="259">
        <v>324</v>
      </c>
      <c r="O127" s="259" t="s">
        <v>1475</v>
      </c>
      <c r="P127" s="245" t="s">
        <v>1010</v>
      </c>
      <c r="Q127" s="259" t="s">
        <v>206</v>
      </c>
      <c r="R127" s="252" t="s">
        <v>1262</v>
      </c>
      <c r="S127" s="259" t="s">
        <v>1012</v>
      </c>
      <c r="T127" s="259"/>
      <c r="U127" s="259"/>
      <c r="V127" s="264">
        <v>0.23</v>
      </c>
      <c r="W127" s="259">
        <v>1</v>
      </c>
      <c r="X127" s="261">
        <v>1</v>
      </c>
      <c r="Y127" s="257">
        <f t="shared" si="9"/>
        <v>0.23</v>
      </c>
      <c r="Z127" s="397"/>
      <c r="AA127" s="397"/>
      <c r="AB127" s="324"/>
      <c r="AC127" s="266"/>
      <c r="AD127" s="328"/>
      <c r="AE127" s="259"/>
      <c r="AF127" s="259"/>
      <c r="AG127" s="259"/>
      <c r="AH127" s="259"/>
      <c r="AI127" s="259"/>
    </row>
    <row r="128" spans="1:35" ht="19" customHeight="1">
      <c r="A128" s="252" t="s">
        <v>925</v>
      </c>
      <c r="B128" s="259" t="s">
        <v>1609</v>
      </c>
      <c r="C128" s="259">
        <v>2017</v>
      </c>
      <c r="D128" s="259"/>
      <c r="E128" s="382">
        <v>37</v>
      </c>
      <c r="F128" s="259">
        <v>27.5</v>
      </c>
      <c r="G128" s="259">
        <v>7.3</v>
      </c>
      <c r="H128" s="259"/>
      <c r="I128" s="259" t="s">
        <v>924</v>
      </c>
      <c r="J128" s="32"/>
      <c r="K128" s="259" t="s">
        <v>938</v>
      </c>
      <c r="L128" s="328" t="s">
        <v>711</v>
      </c>
      <c r="M128" s="259">
        <v>822</v>
      </c>
      <c r="N128" s="259">
        <v>324</v>
      </c>
      <c r="O128" s="259" t="s">
        <v>1475</v>
      </c>
      <c r="P128" s="245" t="s">
        <v>1010</v>
      </c>
      <c r="Q128" s="259" t="s">
        <v>206</v>
      </c>
      <c r="R128" s="252" t="s">
        <v>1588</v>
      </c>
      <c r="S128" s="259" t="s">
        <v>1471</v>
      </c>
      <c r="T128" s="259" t="s">
        <v>1320</v>
      </c>
      <c r="U128" s="259"/>
      <c r="V128" s="264">
        <v>0</v>
      </c>
      <c r="W128" s="259">
        <v>1</v>
      </c>
      <c r="X128" s="261">
        <v>1</v>
      </c>
      <c r="Y128" s="257">
        <f t="shared" si="9"/>
        <v>0</v>
      </c>
      <c r="Z128" s="397">
        <f>AVERAGE(M126:M128)</f>
        <v>822</v>
      </c>
      <c r="AA128" s="397">
        <f>AVERAGE(N126:N128)</f>
        <v>324</v>
      </c>
      <c r="AB128" s="324"/>
      <c r="AC128" s="266"/>
      <c r="AD128" s="328"/>
      <c r="AE128" s="259"/>
      <c r="AF128" s="259"/>
      <c r="AG128" s="259"/>
      <c r="AH128" s="259"/>
      <c r="AI128" s="259"/>
    </row>
    <row r="129" spans="1:35" ht="19" customHeight="1">
      <c r="B129" s="259"/>
      <c r="C129" s="259"/>
      <c r="D129" s="259"/>
      <c r="E129" s="382"/>
      <c r="F129" s="259"/>
      <c r="G129" s="259"/>
      <c r="H129" s="259"/>
      <c r="I129" s="259"/>
      <c r="J129" s="32"/>
      <c r="K129" s="259"/>
      <c r="L129" s="328"/>
      <c r="M129" s="259"/>
      <c r="N129" s="259"/>
      <c r="O129" s="259"/>
      <c r="P129" s="245"/>
      <c r="Q129" s="259"/>
      <c r="S129" s="259"/>
      <c r="T129" s="259"/>
      <c r="U129" s="259"/>
      <c r="V129" s="264"/>
      <c r="W129" s="259"/>
      <c r="X129" s="261"/>
      <c r="Y129" s="257"/>
      <c r="Z129" s="397"/>
      <c r="AA129" s="397"/>
      <c r="AB129" s="324"/>
      <c r="AC129" s="266"/>
      <c r="AD129" s="328"/>
      <c r="AE129" s="259"/>
      <c r="AF129" s="259"/>
      <c r="AG129" s="259"/>
      <c r="AH129" s="259"/>
      <c r="AI129" s="259"/>
    </row>
    <row r="130" spans="1:35" ht="19" customHeight="1">
      <c r="A130" s="252" t="s">
        <v>1144</v>
      </c>
      <c r="B130" s="252" t="s">
        <v>1614</v>
      </c>
      <c r="C130" s="252">
        <v>2005</v>
      </c>
      <c r="E130" s="267">
        <v>42</v>
      </c>
      <c r="F130" s="252">
        <v>17.8</v>
      </c>
      <c r="G130" s="252">
        <v>2.7</v>
      </c>
      <c r="I130" s="259" t="s">
        <v>924</v>
      </c>
      <c r="L130" s="328" t="s">
        <v>711</v>
      </c>
      <c r="M130" s="252">
        <v>906</v>
      </c>
      <c r="N130" s="252">
        <v>396</v>
      </c>
      <c r="O130" s="252" t="s">
        <v>731</v>
      </c>
      <c r="P130" s="245" t="s">
        <v>1010</v>
      </c>
      <c r="Q130" s="259" t="s">
        <v>206</v>
      </c>
      <c r="R130" s="252" t="s">
        <v>1262</v>
      </c>
      <c r="S130" s="32" t="s">
        <v>1433</v>
      </c>
      <c r="U130" s="32" t="s">
        <v>1434</v>
      </c>
      <c r="V130" s="260">
        <v>0.10100000000000001</v>
      </c>
      <c r="W130" s="252">
        <v>1</v>
      </c>
      <c r="X130" s="261">
        <v>1</v>
      </c>
      <c r="Y130" s="257">
        <f t="shared" si="9"/>
        <v>0.10100000000000001</v>
      </c>
      <c r="Z130" s="397"/>
      <c r="AA130" s="397"/>
      <c r="AB130" s="324"/>
      <c r="AC130" s="266"/>
    </row>
    <row r="131" spans="1:35" ht="19" customHeight="1">
      <c r="A131" s="252" t="s">
        <v>1144</v>
      </c>
      <c r="B131" s="252" t="s">
        <v>1614</v>
      </c>
      <c r="C131" s="252">
        <v>2005</v>
      </c>
      <c r="E131" s="267">
        <v>42</v>
      </c>
      <c r="F131" s="252">
        <v>17.8</v>
      </c>
      <c r="G131" s="252">
        <v>2.7</v>
      </c>
      <c r="I131" s="259" t="s">
        <v>924</v>
      </c>
      <c r="L131" s="328" t="s">
        <v>711</v>
      </c>
      <c r="M131" s="252">
        <v>906</v>
      </c>
      <c r="N131" s="252">
        <v>396</v>
      </c>
      <c r="O131" s="252" t="s">
        <v>731</v>
      </c>
      <c r="P131" s="245" t="s">
        <v>1010</v>
      </c>
      <c r="Q131" s="259" t="s">
        <v>206</v>
      </c>
      <c r="R131" s="252" t="s">
        <v>1588</v>
      </c>
      <c r="S131" s="32" t="s">
        <v>2272</v>
      </c>
      <c r="U131" s="32" t="s">
        <v>1021</v>
      </c>
      <c r="V131" s="260">
        <v>4.0000000000000001E-3</v>
      </c>
      <c r="W131" s="252">
        <v>1</v>
      </c>
      <c r="X131" s="261">
        <v>1</v>
      </c>
      <c r="Y131" s="257">
        <f t="shared" si="9"/>
        <v>4.0000000000000001E-3</v>
      </c>
      <c r="Z131" s="397"/>
      <c r="AA131" s="397"/>
      <c r="AB131" s="324"/>
      <c r="AC131" s="266"/>
    </row>
    <row r="132" spans="1:35" ht="19" customHeight="1">
      <c r="A132" s="252" t="s">
        <v>1144</v>
      </c>
      <c r="B132" s="259" t="s">
        <v>1424</v>
      </c>
      <c r="C132" s="259">
        <v>2013</v>
      </c>
      <c r="D132" s="259"/>
      <c r="E132" s="382">
        <v>46</v>
      </c>
      <c r="F132" s="259">
        <f>129/12</f>
        <v>10.75</v>
      </c>
      <c r="G132" s="259">
        <v>2.1</v>
      </c>
      <c r="H132" s="268" t="s">
        <v>1191</v>
      </c>
      <c r="I132" s="259" t="s">
        <v>924</v>
      </c>
      <c r="J132" s="32"/>
      <c r="K132" s="259"/>
      <c r="L132" s="323" t="s">
        <v>2254</v>
      </c>
      <c r="M132" s="259">
        <v>490</v>
      </c>
      <c r="N132" s="259">
        <v>375</v>
      </c>
      <c r="O132" s="259" t="s">
        <v>1192</v>
      </c>
      <c r="P132" s="245" t="s">
        <v>1010</v>
      </c>
      <c r="Q132" s="259" t="s">
        <v>206</v>
      </c>
      <c r="R132" s="252" t="s">
        <v>1588</v>
      </c>
      <c r="S132" s="259" t="s">
        <v>1432</v>
      </c>
      <c r="T132" s="259" t="s">
        <v>1429</v>
      </c>
      <c r="U132" s="259"/>
      <c r="V132" s="264">
        <v>-0.498</v>
      </c>
      <c r="W132" s="259">
        <v>-1</v>
      </c>
      <c r="X132" s="261">
        <v>1</v>
      </c>
      <c r="Y132" s="257">
        <f t="shared" si="9"/>
        <v>0.498</v>
      </c>
      <c r="Z132" s="397">
        <f>AVERAGE(M130:M132)</f>
        <v>767.33333333333337</v>
      </c>
      <c r="AA132" s="397">
        <f>AVERAGE(N130:N132)</f>
        <v>389</v>
      </c>
      <c r="AB132" s="324"/>
      <c r="AC132" s="266"/>
      <c r="AD132" s="328"/>
      <c r="AE132" s="259"/>
      <c r="AF132" s="259"/>
      <c r="AG132" s="259"/>
      <c r="AH132" s="245"/>
      <c r="AI132" s="245"/>
    </row>
    <row r="133" spans="1:35" ht="19" customHeight="1">
      <c r="B133" s="259"/>
      <c r="C133" s="259"/>
      <c r="D133" s="259"/>
      <c r="E133" s="382"/>
      <c r="F133" s="259"/>
      <c r="G133" s="259"/>
      <c r="H133" s="268"/>
      <c r="I133" s="259"/>
      <c r="J133" s="32"/>
      <c r="K133" s="259"/>
      <c r="M133" s="259"/>
      <c r="N133" s="259"/>
      <c r="O133" s="259"/>
      <c r="P133" s="245"/>
      <c r="Q133" s="259"/>
      <c r="S133" s="259"/>
      <c r="T133" s="259"/>
      <c r="U133" s="259"/>
      <c r="V133" s="264"/>
      <c r="W133" s="259"/>
      <c r="X133" s="261"/>
      <c r="Y133" s="257"/>
      <c r="Z133" s="397"/>
      <c r="AA133" s="397"/>
      <c r="AB133" s="324"/>
      <c r="AC133" s="266"/>
      <c r="AD133" s="328"/>
      <c r="AE133" s="259"/>
      <c r="AF133" s="259"/>
      <c r="AG133" s="259"/>
      <c r="AH133" s="245"/>
      <c r="AI133" s="245"/>
    </row>
    <row r="134" spans="1:35" ht="19" customHeight="1">
      <c r="A134" s="252" t="s">
        <v>932</v>
      </c>
      <c r="B134" s="252" t="s">
        <v>933</v>
      </c>
      <c r="C134" s="252">
        <v>2023</v>
      </c>
      <c r="E134" s="267">
        <v>40</v>
      </c>
      <c r="F134" s="252">
        <v>26.4</v>
      </c>
      <c r="G134" s="252">
        <v>5.5</v>
      </c>
      <c r="I134" s="259" t="s">
        <v>924</v>
      </c>
      <c r="L134" s="323" t="s">
        <v>934</v>
      </c>
      <c r="M134" s="252">
        <v>589</v>
      </c>
      <c r="N134" s="252">
        <v>444</v>
      </c>
      <c r="O134" s="252" t="s">
        <v>1015</v>
      </c>
      <c r="P134" s="245" t="s">
        <v>1013</v>
      </c>
      <c r="Q134" s="259"/>
      <c r="R134" s="252" t="s">
        <v>1016</v>
      </c>
      <c r="U134" s="252" t="s">
        <v>936</v>
      </c>
      <c r="V134" s="260">
        <v>0.02</v>
      </c>
      <c r="W134" s="252">
        <v>-1</v>
      </c>
      <c r="X134" s="261">
        <v>1</v>
      </c>
      <c r="Y134" s="257">
        <f t="shared" ref="Y134:Y141" si="10">V134*W134</f>
        <v>-0.02</v>
      </c>
      <c r="Z134" s="397"/>
      <c r="AA134" s="397"/>
      <c r="AB134" s="324"/>
      <c r="AC134" s="266"/>
    </row>
    <row r="135" spans="1:35" ht="19" customHeight="1">
      <c r="A135" s="252" t="s">
        <v>932</v>
      </c>
      <c r="B135" s="252" t="s">
        <v>933</v>
      </c>
      <c r="C135" s="252">
        <v>2023</v>
      </c>
      <c r="E135" s="267">
        <v>40</v>
      </c>
      <c r="F135" s="252">
        <v>26.4</v>
      </c>
      <c r="G135" s="252">
        <v>5.5</v>
      </c>
      <c r="I135" s="259" t="s">
        <v>924</v>
      </c>
      <c r="L135" s="323" t="s">
        <v>934</v>
      </c>
      <c r="M135" s="252">
        <v>589</v>
      </c>
      <c r="N135" s="252">
        <v>444</v>
      </c>
      <c r="O135" s="252" t="s">
        <v>1015</v>
      </c>
      <c r="P135" s="245" t="s">
        <v>1013</v>
      </c>
      <c r="Q135" s="259"/>
      <c r="R135" s="252" t="s">
        <v>1017</v>
      </c>
      <c r="U135" s="252" t="s">
        <v>936</v>
      </c>
      <c r="V135" s="260">
        <v>0.13</v>
      </c>
      <c r="W135" s="252">
        <v>-1</v>
      </c>
      <c r="X135" s="261">
        <v>1</v>
      </c>
      <c r="Y135" s="257">
        <f t="shared" si="10"/>
        <v>-0.13</v>
      </c>
      <c r="Z135" s="397"/>
      <c r="AA135" s="397"/>
      <c r="AB135" s="324"/>
      <c r="AC135" s="266"/>
    </row>
    <row r="136" spans="1:35" ht="19" customHeight="1">
      <c r="A136" s="252" t="s">
        <v>932</v>
      </c>
      <c r="B136" s="252" t="s">
        <v>933</v>
      </c>
      <c r="C136" s="252">
        <v>2023</v>
      </c>
      <c r="E136" s="267">
        <v>40</v>
      </c>
      <c r="F136" s="252">
        <v>26.4</v>
      </c>
      <c r="G136" s="252">
        <v>5.5</v>
      </c>
      <c r="I136" s="259" t="s">
        <v>924</v>
      </c>
      <c r="L136" s="323" t="s">
        <v>934</v>
      </c>
      <c r="M136" s="252">
        <v>589</v>
      </c>
      <c r="N136" s="252">
        <v>444</v>
      </c>
      <c r="O136" s="252" t="s">
        <v>1015</v>
      </c>
      <c r="P136" s="245" t="s">
        <v>1013</v>
      </c>
      <c r="Q136" s="259"/>
      <c r="R136" s="252" t="s">
        <v>1018</v>
      </c>
      <c r="U136" s="252" t="s">
        <v>936</v>
      </c>
      <c r="V136" s="260">
        <v>-0.14000000000000001</v>
      </c>
      <c r="W136" s="252">
        <v>-1</v>
      </c>
      <c r="X136" s="261">
        <v>1</v>
      </c>
      <c r="Y136" s="257">
        <f t="shared" si="10"/>
        <v>0.14000000000000001</v>
      </c>
      <c r="Z136" s="397"/>
      <c r="AA136" s="397"/>
      <c r="AB136" s="324"/>
      <c r="AC136" s="266"/>
    </row>
    <row r="137" spans="1:35" ht="19" customHeight="1">
      <c r="A137" s="252" t="s">
        <v>932</v>
      </c>
      <c r="B137" s="252" t="s">
        <v>933</v>
      </c>
      <c r="C137" s="252">
        <v>2023</v>
      </c>
      <c r="E137" s="267">
        <v>40</v>
      </c>
      <c r="F137" s="252">
        <v>26.4</v>
      </c>
      <c r="G137" s="252">
        <v>5.5</v>
      </c>
      <c r="I137" s="259" t="s">
        <v>924</v>
      </c>
      <c r="L137" s="323" t="s">
        <v>934</v>
      </c>
      <c r="M137" s="252">
        <v>589</v>
      </c>
      <c r="N137" s="252">
        <v>444</v>
      </c>
      <c r="O137" s="252" t="s">
        <v>1015</v>
      </c>
      <c r="P137" s="245" t="s">
        <v>1013</v>
      </c>
      <c r="Q137" s="259"/>
      <c r="R137" s="252" t="s">
        <v>1019</v>
      </c>
      <c r="U137" s="252" t="s">
        <v>936</v>
      </c>
      <c r="V137" s="260">
        <v>-0.36</v>
      </c>
      <c r="W137" s="252">
        <v>-1</v>
      </c>
      <c r="X137" s="261">
        <v>1</v>
      </c>
      <c r="Y137" s="257">
        <f t="shared" si="10"/>
        <v>0.36</v>
      </c>
      <c r="Z137" s="397"/>
      <c r="AA137" s="397"/>
      <c r="AB137" s="324"/>
      <c r="AC137" s="266"/>
    </row>
    <row r="138" spans="1:35" ht="19" customHeight="1">
      <c r="A138" s="252" t="s">
        <v>932</v>
      </c>
      <c r="B138" s="252" t="s">
        <v>933</v>
      </c>
      <c r="C138" s="252">
        <v>2023</v>
      </c>
      <c r="E138" s="267">
        <v>40</v>
      </c>
      <c r="F138" s="252">
        <v>26.4</v>
      </c>
      <c r="G138" s="252">
        <v>5.5</v>
      </c>
      <c r="I138" s="259" t="s">
        <v>924</v>
      </c>
      <c r="L138" s="323" t="s">
        <v>934</v>
      </c>
      <c r="M138" s="252">
        <v>589</v>
      </c>
      <c r="N138" s="252">
        <v>444</v>
      </c>
      <c r="O138" s="252" t="s">
        <v>1015</v>
      </c>
      <c r="P138" s="245" t="s">
        <v>1013</v>
      </c>
      <c r="Q138" s="259"/>
      <c r="R138" s="252" t="s">
        <v>1020</v>
      </c>
      <c r="U138" s="252" t="s">
        <v>936</v>
      </c>
      <c r="V138" s="260">
        <v>-0.41</v>
      </c>
      <c r="W138" s="252">
        <v>-1</v>
      </c>
      <c r="X138" s="261">
        <v>1</v>
      </c>
      <c r="Y138" s="257">
        <f t="shared" si="10"/>
        <v>0.41</v>
      </c>
      <c r="Z138" s="397"/>
      <c r="AA138" s="397"/>
      <c r="AB138" s="323"/>
      <c r="AC138" s="266"/>
      <c r="AD138" s="329"/>
      <c r="AE138" s="269"/>
      <c r="AF138" s="269"/>
      <c r="AG138" s="269"/>
    </row>
    <row r="139" spans="1:35" ht="19" customHeight="1">
      <c r="A139" s="252" t="s">
        <v>925</v>
      </c>
      <c r="B139" s="259" t="s">
        <v>1609</v>
      </c>
      <c r="C139" s="259">
        <v>2020</v>
      </c>
      <c r="D139" s="259"/>
      <c r="E139" s="382">
        <v>19</v>
      </c>
      <c r="F139" s="259">
        <v>23.5</v>
      </c>
      <c r="G139" s="259">
        <v>6.1</v>
      </c>
      <c r="H139" s="259"/>
      <c r="I139" s="259" t="s">
        <v>924</v>
      </c>
      <c r="J139" s="32"/>
      <c r="K139" s="259" t="s">
        <v>938</v>
      </c>
      <c r="L139" s="328" t="s">
        <v>711</v>
      </c>
      <c r="M139" s="164">
        <v>1042</v>
      </c>
      <c r="N139" s="164">
        <v>428</v>
      </c>
      <c r="O139" s="110" t="s">
        <v>1877</v>
      </c>
      <c r="P139" s="289" t="s">
        <v>70</v>
      </c>
      <c r="R139" s="259" t="s">
        <v>1683</v>
      </c>
      <c r="S139" s="259"/>
      <c r="U139" s="259" t="s">
        <v>2267</v>
      </c>
      <c r="V139" s="264">
        <v>0.22</v>
      </c>
      <c r="W139" s="252">
        <v>1</v>
      </c>
      <c r="X139" s="261">
        <v>1</v>
      </c>
      <c r="Y139" s="257">
        <f t="shared" si="10"/>
        <v>0.22</v>
      </c>
      <c r="Z139" s="397"/>
      <c r="AA139" s="397"/>
      <c r="AB139" s="324"/>
      <c r="AC139" s="266"/>
      <c r="AD139" s="328"/>
      <c r="AE139" s="259"/>
      <c r="AF139" s="259"/>
      <c r="AG139" s="259"/>
      <c r="AH139" s="259"/>
      <c r="AI139" s="259"/>
    </row>
    <row r="140" spans="1:35" ht="19" customHeight="1">
      <c r="A140" s="252" t="s">
        <v>925</v>
      </c>
      <c r="B140" s="259" t="s">
        <v>1609</v>
      </c>
      <c r="C140" s="259">
        <v>2017</v>
      </c>
      <c r="D140" s="259"/>
      <c r="E140" s="382">
        <v>37</v>
      </c>
      <c r="F140" s="259">
        <v>27.5</v>
      </c>
      <c r="G140" s="259">
        <v>7.3</v>
      </c>
      <c r="H140" s="259"/>
      <c r="I140" s="259" t="s">
        <v>924</v>
      </c>
      <c r="J140" s="32"/>
      <c r="K140" s="259" t="s">
        <v>938</v>
      </c>
      <c r="L140" s="328" t="s">
        <v>711</v>
      </c>
      <c r="M140" s="259">
        <v>822</v>
      </c>
      <c r="N140" s="259">
        <v>324</v>
      </c>
      <c r="O140" s="259" t="s">
        <v>1475</v>
      </c>
      <c r="P140" s="289" t="s">
        <v>70</v>
      </c>
      <c r="R140" s="259" t="s">
        <v>1683</v>
      </c>
      <c r="S140" s="259"/>
      <c r="T140" s="259" t="s">
        <v>651</v>
      </c>
      <c r="U140" s="259" t="s">
        <v>2267</v>
      </c>
      <c r="V140" s="264">
        <v>0.3</v>
      </c>
      <c r="W140" s="259">
        <v>1</v>
      </c>
      <c r="X140" s="261">
        <v>1</v>
      </c>
      <c r="Y140" s="257">
        <f t="shared" si="10"/>
        <v>0.3</v>
      </c>
      <c r="Z140" s="397"/>
      <c r="AA140" s="397"/>
      <c r="AB140" s="324"/>
      <c r="AC140" s="266"/>
      <c r="AD140" s="328"/>
      <c r="AE140" s="259"/>
      <c r="AF140" s="259"/>
      <c r="AG140" s="259"/>
      <c r="AH140" s="259"/>
      <c r="AI140" s="259"/>
    </row>
    <row r="141" spans="1:35" ht="19" customHeight="1">
      <c r="A141" s="252" t="s">
        <v>932</v>
      </c>
      <c r="B141" s="252" t="s">
        <v>491</v>
      </c>
      <c r="C141" s="252">
        <v>2013</v>
      </c>
      <c r="D141" s="252" t="s">
        <v>944</v>
      </c>
      <c r="E141" s="267">
        <v>57</v>
      </c>
      <c r="F141" s="252">
        <v>27.48</v>
      </c>
      <c r="G141" s="252">
        <v>4.55</v>
      </c>
      <c r="I141" s="259" t="s">
        <v>924</v>
      </c>
      <c r="L141" s="323" t="s">
        <v>945</v>
      </c>
      <c r="M141" s="252" t="s">
        <v>899</v>
      </c>
      <c r="O141" s="252" t="s">
        <v>24</v>
      </c>
      <c r="P141" s="289" t="s">
        <v>70</v>
      </c>
      <c r="R141" s="32" t="s">
        <v>730</v>
      </c>
      <c r="U141" s="32" t="s">
        <v>901</v>
      </c>
      <c r="V141" s="260">
        <v>-0.60499999999999998</v>
      </c>
      <c r="W141" s="252">
        <v>-1</v>
      </c>
      <c r="X141" s="261">
        <v>1</v>
      </c>
      <c r="Y141" s="257">
        <f t="shared" si="10"/>
        <v>0.60499999999999998</v>
      </c>
      <c r="Z141" s="397">
        <f>AVERAGE(M134:M141)</f>
        <v>687</v>
      </c>
      <c r="AA141" s="397">
        <f>AVERAGE(N134:N141)</f>
        <v>424.57142857142856</v>
      </c>
      <c r="AB141" s="324"/>
      <c r="AC141" s="266" t="s">
        <v>1372</v>
      </c>
    </row>
    <row r="142" spans="1:35" ht="19" customHeight="1">
      <c r="I142" s="259"/>
      <c r="P142" s="289"/>
      <c r="R142" s="32"/>
      <c r="U142" s="32"/>
      <c r="X142" s="261"/>
      <c r="Y142" s="257"/>
      <c r="Z142" s="397"/>
      <c r="AA142" s="397"/>
      <c r="AB142" s="324"/>
      <c r="AC142" s="266"/>
    </row>
    <row r="143" spans="1:35" ht="19" customHeight="1">
      <c r="A143" s="252" t="s">
        <v>1144</v>
      </c>
      <c r="B143" s="252" t="s">
        <v>998</v>
      </c>
      <c r="C143" s="252">
        <v>2018</v>
      </c>
      <c r="E143" s="267">
        <v>30</v>
      </c>
      <c r="F143" s="252">
        <v>14</v>
      </c>
      <c r="G143" s="252">
        <v>0.7</v>
      </c>
      <c r="I143" s="259" t="s">
        <v>924</v>
      </c>
      <c r="L143" s="323" t="s">
        <v>978</v>
      </c>
      <c r="M143" s="252">
        <v>439.9</v>
      </c>
      <c r="N143" s="252">
        <v>212.1</v>
      </c>
      <c r="O143" s="31" t="s">
        <v>2293</v>
      </c>
      <c r="P143" s="289" t="s">
        <v>70</v>
      </c>
      <c r="R143" s="32" t="s">
        <v>730</v>
      </c>
      <c r="T143" s="32" t="s">
        <v>901</v>
      </c>
      <c r="V143" s="260">
        <v>-0.66</v>
      </c>
      <c r="W143" s="252">
        <v>-1</v>
      </c>
      <c r="X143" s="261">
        <v>1</v>
      </c>
      <c r="Y143" s="257">
        <f>V143*W143</f>
        <v>0.66</v>
      </c>
      <c r="Z143" s="397"/>
      <c r="AA143" s="397"/>
      <c r="AB143" s="324"/>
      <c r="AC143" s="266"/>
    </row>
    <row r="144" spans="1:35" ht="19" customHeight="1">
      <c r="A144" s="252" t="s">
        <v>1144</v>
      </c>
      <c r="B144" s="252" t="s">
        <v>998</v>
      </c>
      <c r="C144" s="252">
        <v>2018</v>
      </c>
      <c r="E144" s="267">
        <v>30</v>
      </c>
      <c r="F144" s="252">
        <v>14</v>
      </c>
      <c r="G144" s="252">
        <v>0.7</v>
      </c>
      <c r="I144" s="259" t="s">
        <v>924</v>
      </c>
      <c r="L144" s="323" t="s">
        <v>978</v>
      </c>
      <c r="M144" s="252">
        <v>439.9</v>
      </c>
      <c r="N144" s="252">
        <v>212.1</v>
      </c>
      <c r="O144" s="31" t="s">
        <v>2293</v>
      </c>
      <c r="P144" s="289" t="s">
        <v>70</v>
      </c>
      <c r="R144" s="32" t="s">
        <v>730</v>
      </c>
      <c r="T144" s="32" t="s">
        <v>829</v>
      </c>
      <c r="V144" s="260">
        <v>-0.3</v>
      </c>
      <c r="W144" s="252">
        <v>-1</v>
      </c>
      <c r="X144" s="277">
        <v>0</v>
      </c>
      <c r="Y144" s="278">
        <f>V144*W144</f>
        <v>0.3</v>
      </c>
      <c r="Z144" s="397"/>
      <c r="AA144" s="397"/>
      <c r="AB144" s="324" t="s">
        <v>2309</v>
      </c>
      <c r="AC144" s="323" t="s">
        <v>999</v>
      </c>
    </row>
    <row r="145" spans="1:35" ht="19" customHeight="1">
      <c r="A145" s="252" t="s">
        <v>1144</v>
      </c>
      <c r="B145" s="252" t="s">
        <v>998</v>
      </c>
      <c r="C145" s="252">
        <v>2018</v>
      </c>
      <c r="E145" s="267">
        <v>30</v>
      </c>
      <c r="F145" s="252">
        <v>14</v>
      </c>
      <c r="G145" s="252">
        <v>0.7</v>
      </c>
      <c r="I145" s="259" t="s">
        <v>924</v>
      </c>
      <c r="L145" s="323" t="s">
        <v>978</v>
      </c>
      <c r="M145" s="252">
        <v>439.9</v>
      </c>
      <c r="N145" s="252">
        <v>212.1</v>
      </c>
      <c r="O145" s="31" t="s">
        <v>2293</v>
      </c>
      <c r="P145" s="289" t="s">
        <v>70</v>
      </c>
      <c r="R145" s="32" t="s">
        <v>730</v>
      </c>
      <c r="T145" s="32" t="s">
        <v>830</v>
      </c>
      <c r="V145" s="260">
        <v>-0.72</v>
      </c>
      <c r="W145" s="252">
        <v>-1</v>
      </c>
      <c r="X145" s="261">
        <v>1</v>
      </c>
      <c r="Y145" s="257">
        <f>V145*W145</f>
        <v>0.72</v>
      </c>
      <c r="Z145" s="397"/>
      <c r="AA145" s="397"/>
      <c r="AB145" s="324"/>
      <c r="AC145" s="266"/>
    </row>
    <row r="146" spans="1:35" ht="19" customHeight="1">
      <c r="A146" s="252" t="s">
        <v>1144</v>
      </c>
      <c r="B146" s="252" t="s">
        <v>1614</v>
      </c>
      <c r="C146" s="252">
        <v>2005</v>
      </c>
      <c r="E146" s="267">
        <v>42</v>
      </c>
      <c r="F146" s="252">
        <v>17.8</v>
      </c>
      <c r="G146" s="252">
        <v>2.7</v>
      </c>
      <c r="I146" s="259" t="s">
        <v>924</v>
      </c>
      <c r="L146" s="328" t="s">
        <v>711</v>
      </c>
      <c r="M146" s="252">
        <v>906</v>
      </c>
      <c r="N146" s="252">
        <v>396</v>
      </c>
      <c r="O146" s="252" t="s">
        <v>731</v>
      </c>
      <c r="P146" s="289" t="s">
        <v>70</v>
      </c>
      <c r="R146" s="32" t="s">
        <v>730</v>
      </c>
      <c r="T146" s="252" t="s">
        <v>740</v>
      </c>
      <c r="V146" s="260">
        <f>- 0.15</f>
        <v>-0.15</v>
      </c>
      <c r="W146" s="252">
        <v>-1</v>
      </c>
      <c r="X146" s="261">
        <v>1</v>
      </c>
      <c r="Y146" s="257">
        <f>V146*W146</f>
        <v>0.15</v>
      </c>
      <c r="Z146" s="397"/>
      <c r="AA146" s="397"/>
      <c r="AB146" s="324"/>
      <c r="AC146" s="266"/>
    </row>
    <row r="147" spans="1:35" ht="19" customHeight="1">
      <c r="A147" s="252" t="s">
        <v>1144</v>
      </c>
      <c r="B147" s="252" t="s">
        <v>1614</v>
      </c>
      <c r="C147" s="252">
        <v>2005</v>
      </c>
      <c r="E147" s="267">
        <v>42</v>
      </c>
      <c r="F147" s="252">
        <v>17.8</v>
      </c>
      <c r="G147" s="252">
        <v>2.7</v>
      </c>
      <c r="H147" s="274" t="s">
        <v>2294</v>
      </c>
      <c r="I147" s="259" t="s">
        <v>924</v>
      </c>
      <c r="L147" s="328" t="s">
        <v>711</v>
      </c>
      <c r="M147" s="252">
        <v>906</v>
      </c>
      <c r="N147" s="252">
        <v>396</v>
      </c>
      <c r="O147" s="252" t="s">
        <v>731</v>
      </c>
      <c r="P147" s="289" t="s">
        <v>70</v>
      </c>
      <c r="R147" s="32" t="s">
        <v>730</v>
      </c>
      <c r="T147" s="252" t="s">
        <v>741</v>
      </c>
      <c r="V147" s="260">
        <f>- 0.181</f>
        <v>-0.18099999999999999</v>
      </c>
      <c r="W147" s="252">
        <v>1</v>
      </c>
      <c r="X147" s="261">
        <v>1</v>
      </c>
      <c r="Y147" s="257">
        <f>V147*W147</f>
        <v>-0.18099999999999999</v>
      </c>
      <c r="Z147" s="397"/>
      <c r="AA147" s="397"/>
      <c r="AB147" s="324"/>
      <c r="AC147" s="266"/>
    </row>
    <row r="148" spans="1:35" ht="19" customHeight="1">
      <c r="A148" s="252" t="s">
        <v>1144</v>
      </c>
      <c r="B148" s="274" t="s">
        <v>287</v>
      </c>
      <c r="C148" s="252">
        <v>2014</v>
      </c>
      <c r="E148" s="267">
        <v>17</v>
      </c>
      <c r="F148" s="252">
        <v>14.9</v>
      </c>
      <c r="G148" s="252">
        <v>3.28</v>
      </c>
      <c r="H148" s="274" t="s">
        <v>1775</v>
      </c>
      <c r="I148" s="252" t="s">
        <v>2255</v>
      </c>
      <c r="K148" s="252" t="s">
        <v>1591</v>
      </c>
      <c r="L148" s="328" t="s">
        <v>711</v>
      </c>
      <c r="M148" s="252">
        <v>697</v>
      </c>
      <c r="N148" s="252">
        <v>279</v>
      </c>
      <c r="O148" s="252" t="s">
        <v>1769</v>
      </c>
      <c r="P148" s="289" t="s">
        <v>70</v>
      </c>
      <c r="R148" s="252" t="s">
        <v>1788</v>
      </c>
      <c r="S148" s="32" t="s">
        <v>2268</v>
      </c>
      <c r="T148" s="252" t="s">
        <v>1789</v>
      </c>
      <c r="U148" s="252" t="s">
        <v>1790</v>
      </c>
      <c r="V148" s="252">
        <v>-0.30299999999999999</v>
      </c>
      <c r="W148" s="259">
        <v>-1</v>
      </c>
      <c r="X148" s="261">
        <v>1</v>
      </c>
      <c r="Y148" s="257">
        <v>0.30299999999999999</v>
      </c>
      <c r="Z148" s="397"/>
      <c r="AA148" s="397"/>
      <c r="AB148" s="324"/>
      <c r="AC148" s="266"/>
    </row>
    <row r="149" spans="1:35" ht="19" customHeight="1">
      <c r="A149" s="252" t="s">
        <v>1252</v>
      </c>
      <c r="B149" s="252" t="s">
        <v>1253</v>
      </c>
      <c r="C149" s="252">
        <v>2007</v>
      </c>
      <c r="E149" s="267">
        <v>15</v>
      </c>
      <c r="F149" s="252">
        <v>14.8</v>
      </c>
      <c r="G149" s="252">
        <v>3</v>
      </c>
      <c r="H149" s="270" t="s">
        <v>1229</v>
      </c>
      <c r="I149" s="259" t="s">
        <v>924</v>
      </c>
      <c r="L149" s="328" t="s">
        <v>711</v>
      </c>
      <c r="M149" s="259">
        <v>660</v>
      </c>
      <c r="N149" s="259">
        <f>(1730-222)/4</f>
        <v>377</v>
      </c>
      <c r="O149" s="252" t="s">
        <v>1230</v>
      </c>
      <c r="P149" s="289" t="s">
        <v>70</v>
      </c>
      <c r="R149" s="252" t="s">
        <v>2276</v>
      </c>
      <c r="T149" s="252" t="s">
        <v>1238</v>
      </c>
      <c r="U149" s="32" t="s">
        <v>1251</v>
      </c>
      <c r="V149" s="260">
        <v>0.12</v>
      </c>
      <c r="W149" s="252">
        <v>1</v>
      </c>
      <c r="X149" s="261">
        <v>1</v>
      </c>
      <c r="Y149" s="257">
        <f>V149*W149</f>
        <v>0.12</v>
      </c>
      <c r="Z149" s="397"/>
      <c r="AA149" s="397"/>
      <c r="AB149" s="324"/>
      <c r="AC149" s="266"/>
    </row>
    <row r="150" spans="1:35" ht="19" customHeight="1">
      <c r="H150" s="270"/>
      <c r="I150" s="259"/>
      <c r="L150" s="328"/>
      <c r="M150" s="259"/>
      <c r="N150" s="259"/>
      <c r="P150" s="289"/>
      <c r="U150" s="32"/>
      <c r="X150" s="261"/>
      <c r="Y150" s="257"/>
      <c r="Z150" s="397"/>
      <c r="AA150" s="397"/>
      <c r="AB150" s="324"/>
      <c r="AC150" s="266"/>
    </row>
    <row r="151" spans="1:35" ht="19" customHeight="1">
      <c r="A151" s="276" t="s">
        <v>1757</v>
      </c>
      <c r="B151" s="276" t="s">
        <v>1781</v>
      </c>
      <c r="C151" s="272">
        <v>1987</v>
      </c>
      <c r="E151" s="267">
        <v>22</v>
      </c>
      <c r="F151" s="272">
        <v>16.399999999999999</v>
      </c>
      <c r="G151" s="272">
        <v>5.6</v>
      </c>
      <c r="H151" s="252" t="s">
        <v>24</v>
      </c>
      <c r="I151" s="272" t="s">
        <v>1782</v>
      </c>
      <c r="K151" s="272" t="s">
        <v>1783</v>
      </c>
      <c r="L151" s="328" t="s">
        <v>711</v>
      </c>
      <c r="M151" s="272">
        <v>1529.3200000000002</v>
      </c>
      <c r="N151" s="272" t="s">
        <v>24</v>
      </c>
      <c r="O151" s="272" t="s">
        <v>1786</v>
      </c>
      <c r="P151" s="289" t="s">
        <v>70</v>
      </c>
      <c r="R151" s="272" t="s">
        <v>1785</v>
      </c>
      <c r="S151" s="32" t="s">
        <v>1669</v>
      </c>
      <c r="V151" s="272">
        <v>-0.06</v>
      </c>
      <c r="W151" s="252">
        <v>1</v>
      </c>
      <c r="X151" s="261">
        <v>1</v>
      </c>
      <c r="Y151" s="257">
        <v>-0.06</v>
      </c>
      <c r="Z151" s="397"/>
      <c r="AA151" s="397"/>
      <c r="AB151" s="323"/>
      <c r="AC151" s="252"/>
    </row>
    <row r="152" spans="1:35" ht="19" customHeight="1">
      <c r="A152" s="276" t="s">
        <v>1757</v>
      </c>
      <c r="B152" s="276" t="s">
        <v>1781</v>
      </c>
      <c r="C152" s="272">
        <v>1987</v>
      </c>
      <c r="E152" s="267">
        <v>22</v>
      </c>
      <c r="F152" s="272">
        <v>16.399999999999999</v>
      </c>
      <c r="G152" s="272">
        <v>5.6</v>
      </c>
      <c r="H152" s="252" t="s">
        <v>24</v>
      </c>
      <c r="I152" s="272" t="s">
        <v>1782</v>
      </c>
      <c r="K152" s="272" t="s">
        <v>1783</v>
      </c>
      <c r="L152" s="328" t="s">
        <v>711</v>
      </c>
      <c r="M152" s="272">
        <v>1529.3200000000002</v>
      </c>
      <c r="N152" s="272" t="s">
        <v>24</v>
      </c>
      <c r="O152" s="272" t="s">
        <v>1784</v>
      </c>
      <c r="P152" s="289" t="s">
        <v>70</v>
      </c>
      <c r="R152" s="272" t="s">
        <v>1785</v>
      </c>
      <c r="S152" s="275" t="s">
        <v>1666</v>
      </c>
      <c r="V152" s="272">
        <v>-0.14000000000000001</v>
      </c>
      <c r="W152" s="252">
        <v>1</v>
      </c>
      <c r="X152" s="261">
        <v>1</v>
      </c>
      <c r="Y152" s="257">
        <v>-0.14000000000000001</v>
      </c>
      <c r="Z152" s="397"/>
      <c r="AA152" s="397"/>
      <c r="AB152" s="323"/>
      <c r="AC152" s="252"/>
    </row>
    <row r="153" spans="1:35" ht="19" customHeight="1">
      <c r="A153" s="276" t="s">
        <v>1757</v>
      </c>
      <c r="B153" s="276" t="s">
        <v>1781</v>
      </c>
      <c r="C153" s="272">
        <v>1987</v>
      </c>
      <c r="E153" s="267">
        <v>22</v>
      </c>
      <c r="F153" s="272">
        <v>16.399999999999999</v>
      </c>
      <c r="G153" s="272">
        <v>5.6</v>
      </c>
      <c r="H153" s="252" t="s">
        <v>24</v>
      </c>
      <c r="I153" s="272" t="s">
        <v>1782</v>
      </c>
      <c r="K153" s="272" t="s">
        <v>1783</v>
      </c>
      <c r="L153" s="328" t="s">
        <v>711</v>
      </c>
      <c r="M153" s="272">
        <v>1529.3200000000002</v>
      </c>
      <c r="N153" s="272" t="s">
        <v>24</v>
      </c>
      <c r="O153" s="272" t="s">
        <v>1787</v>
      </c>
      <c r="P153" s="289" t="s">
        <v>70</v>
      </c>
      <c r="R153" s="272" t="s">
        <v>1785</v>
      </c>
      <c r="S153" s="32" t="s">
        <v>1320</v>
      </c>
      <c r="V153" s="272">
        <v>-0.15</v>
      </c>
      <c r="W153" s="252">
        <v>1</v>
      </c>
      <c r="X153" s="261">
        <v>1</v>
      </c>
      <c r="Y153" s="257">
        <v>-0.15</v>
      </c>
      <c r="Z153" s="397"/>
      <c r="AA153" s="397"/>
      <c r="AB153" s="323"/>
      <c r="AC153" s="252"/>
    </row>
    <row r="154" spans="1:35" ht="19" customHeight="1">
      <c r="A154" s="276"/>
      <c r="B154" s="276"/>
      <c r="C154" s="272"/>
      <c r="F154" s="272"/>
      <c r="G154" s="272"/>
      <c r="I154" s="272"/>
      <c r="K154" s="272"/>
      <c r="L154" s="328"/>
      <c r="M154" s="272"/>
      <c r="N154" s="272"/>
      <c r="O154" s="272"/>
      <c r="P154" s="289"/>
      <c r="R154" s="272"/>
      <c r="V154" s="272"/>
      <c r="X154" s="261"/>
      <c r="Y154" s="257"/>
      <c r="Z154" s="397"/>
      <c r="AA154" s="397"/>
      <c r="AB154" s="323"/>
      <c r="AC154" s="252"/>
    </row>
    <row r="155" spans="1:35" ht="19" customHeight="1">
      <c r="A155" s="252" t="s">
        <v>925</v>
      </c>
      <c r="B155" s="259" t="s">
        <v>1610</v>
      </c>
      <c r="C155" s="259">
        <v>2022</v>
      </c>
      <c r="D155" s="259"/>
      <c r="E155" s="382">
        <v>150</v>
      </c>
      <c r="F155" s="259">
        <v>32.380000000000003</v>
      </c>
      <c r="G155" s="259">
        <v>9.0399999999999991</v>
      </c>
      <c r="H155" s="259"/>
      <c r="I155" s="259" t="s">
        <v>924</v>
      </c>
      <c r="J155" s="32"/>
      <c r="K155" s="259" t="s">
        <v>974</v>
      </c>
      <c r="L155" s="328" t="s">
        <v>711</v>
      </c>
      <c r="M155" s="259">
        <v>1058.68</v>
      </c>
      <c r="N155" s="259" t="s">
        <v>1046</v>
      </c>
      <c r="O155" s="259" t="s">
        <v>1383</v>
      </c>
      <c r="P155" s="394" t="s">
        <v>1022</v>
      </c>
      <c r="Q155" s="259"/>
      <c r="R155" s="32" t="s">
        <v>1589</v>
      </c>
      <c r="S155" s="259" t="s">
        <v>1344</v>
      </c>
      <c r="T155" s="259"/>
      <c r="U155" s="259"/>
      <c r="V155" s="264">
        <v>-0.25600000000000001</v>
      </c>
      <c r="W155" s="261">
        <v>-1</v>
      </c>
      <c r="X155" s="261">
        <v>1</v>
      </c>
      <c r="Y155" s="257">
        <f t="shared" ref="Y155:Y166" si="11">V155*W155</f>
        <v>0.25600000000000001</v>
      </c>
      <c r="Z155" s="397"/>
      <c r="AA155" s="397"/>
      <c r="AB155" s="324"/>
      <c r="AC155" s="265">
        <v>-7.8799999999999996E-4</v>
      </c>
      <c r="AD155" s="327">
        <v>-4.8299999999999998E-4</v>
      </c>
      <c r="AE155" s="266">
        <v>-0.02</v>
      </c>
      <c r="AF155" s="266">
        <v>1.22</v>
      </c>
      <c r="AG155" s="265"/>
      <c r="AH155" s="245"/>
      <c r="AI155" s="245"/>
    </row>
    <row r="156" spans="1:35" ht="19" customHeight="1">
      <c r="A156" s="252" t="s">
        <v>925</v>
      </c>
      <c r="B156" s="259" t="s">
        <v>1609</v>
      </c>
      <c r="C156" s="259">
        <v>2017</v>
      </c>
      <c r="D156" s="259"/>
      <c r="E156" s="382">
        <v>37</v>
      </c>
      <c r="F156" s="259">
        <v>27.5</v>
      </c>
      <c r="G156" s="259">
        <v>7.3</v>
      </c>
      <c r="H156" s="259"/>
      <c r="I156" s="259" t="s">
        <v>924</v>
      </c>
      <c r="J156" s="32"/>
      <c r="K156" s="259" t="s">
        <v>938</v>
      </c>
      <c r="L156" s="328" t="s">
        <v>711</v>
      </c>
      <c r="M156" s="259">
        <v>822</v>
      </c>
      <c r="N156" s="259">
        <v>324</v>
      </c>
      <c r="O156" s="259" t="s">
        <v>1475</v>
      </c>
      <c r="P156" s="394" t="s">
        <v>1022</v>
      </c>
      <c r="Q156" s="259"/>
      <c r="R156" s="259" t="s">
        <v>2274</v>
      </c>
      <c r="S156" s="259"/>
      <c r="T156" s="259" t="s">
        <v>1426</v>
      </c>
      <c r="U156" s="259"/>
      <c r="V156" s="264">
        <v>0.56999999999999995</v>
      </c>
      <c r="W156" s="259">
        <v>1</v>
      </c>
      <c r="X156" s="261">
        <v>1</v>
      </c>
      <c r="Y156" s="257">
        <f t="shared" si="11"/>
        <v>0.56999999999999995</v>
      </c>
      <c r="Z156" s="397"/>
      <c r="AA156" s="397"/>
      <c r="AB156" s="323"/>
      <c r="AC156" s="266"/>
      <c r="AD156" s="328"/>
      <c r="AE156" s="259"/>
      <c r="AF156" s="259"/>
      <c r="AG156" s="259"/>
      <c r="AH156" s="259"/>
      <c r="AI156" s="259"/>
    </row>
    <row r="157" spans="1:35" ht="19" customHeight="1">
      <c r="A157" s="252" t="s">
        <v>925</v>
      </c>
      <c r="B157" s="259" t="s">
        <v>1609</v>
      </c>
      <c r="C157" s="259">
        <v>2017</v>
      </c>
      <c r="D157" s="259"/>
      <c r="E157" s="382">
        <v>37</v>
      </c>
      <c r="F157" s="259">
        <v>27.5</v>
      </c>
      <c r="G157" s="259">
        <v>7.3</v>
      </c>
      <c r="H157" s="259"/>
      <c r="I157" s="259" t="s">
        <v>924</v>
      </c>
      <c r="J157" s="32"/>
      <c r="K157" s="259" t="s">
        <v>938</v>
      </c>
      <c r="L157" s="328" t="s">
        <v>711</v>
      </c>
      <c r="M157" s="259">
        <v>822</v>
      </c>
      <c r="N157" s="259">
        <v>324</v>
      </c>
      <c r="O157" s="259" t="s">
        <v>1475</v>
      </c>
      <c r="P157" s="394" t="s">
        <v>1022</v>
      </c>
      <c r="Q157" s="259"/>
      <c r="R157" s="259" t="s">
        <v>2274</v>
      </c>
      <c r="S157" s="259"/>
      <c r="T157" s="259" t="s">
        <v>2275</v>
      </c>
      <c r="U157" s="259"/>
      <c r="V157" s="264">
        <v>-0.53</v>
      </c>
      <c r="W157" s="259">
        <v>-1</v>
      </c>
      <c r="X157" s="261">
        <v>1</v>
      </c>
      <c r="Y157" s="257">
        <f t="shared" si="11"/>
        <v>0.53</v>
      </c>
      <c r="Z157" s="397"/>
      <c r="AA157" s="397"/>
      <c r="AB157" s="323"/>
      <c r="AC157" s="266"/>
      <c r="AD157" s="328"/>
      <c r="AE157" s="259"/>
      <c r="AF157" s="259"/>
      <c r="AG157" s="259"/>
      <c r="AH157" s="259"/>
      <c r="AI157" s="259"/>
    </row>
    <row r="158" spans="1:35" ht="19" customHeight="1">
      <c r="A158" s="252" t="s">
        <v>925</v>
      </c>
      <c r="B158" s="259" t="s">
        <v>1609</v>
      </c>
      <c r="C158" s="259">
        <v>2017</v>
      </c>
      <c r="D158" s="259"/>
      <c r="E158" s="382">
        <v>37</v>
      </c>
      <c r="F158" s="259">
        <v>27.5</v>
      </c>
      <c r="G158" s="259">
        <v>7.3</v>
      </c>
      <c r="H158" s="259"/>
      <c r="I158" s="259" t="s">
        <v>924</v>
      </c>
      <c r="J158" s="32"/>
      <c r="K158" s="259" t="s">
        <v>938</v>
      </c>
      <c r="L158" s="328" t="s">
        <v>711</v>
      </c>
      <c r="M158" s="259">
        <v>822</v>
      </c>
      <c r="N158" s="259">
        <v>324</v>
      </c>
      <c r="O158" s="259" t="s">
        <v>1475</v>
      </c>
      <c r="P158" s="394" t="s">
        <v>1022</v>
      </c>
      <c r="Q158" s="259"/>
      <c r="R158" s="32" t="s">
        <v>1589</v>
      </c>
      <c r="S158" s="259" t="s">
        <v>1446</v>
      </c>
      <c r="T158" s="259" t="s">
        <v>1426</v>
      </c>
      <c r="U158" s="259"/>
      <c r="V158" s="264">
        <v>0.53</v>
      </c>
      <c r="W158" s="259">
        <v>1</v>
      </c>
      <c r="X158" s="261">
        <v>1</v>
      </c>
      <c r="Y158" s="257">
        <f t="shared" si="11"/>
        <v>0.53</v>
      </c>
      <c r="Z158" s="397"/>
      <c r="AA158" s="397"/>
      <c r="AB158" s="324"/>
      <c r="AC158" s="266"/>
      <c r="AD158" s="328"/>
      <c r="AE158" s="259"/>
      <c r="AF158" s="259"/>
      <c r="AG158" s="259"/>
      <c r="AH158" s="259"/>
      <c r="AI158" s="259"/>
    </row>
    <row r="159" spans="1:35" ht="19" customHeight="1">
      <c r="A159" s="252" t="s">
        <v>925</v>
      </c>
      <c r="B159" s="259" t="s">
        <v>1609</v>
      </c>
      <c r="C159" s="259">
        <v>2017</v>
      </c>
      <c r="D159" s="259"/>
      <c r="E159" s="382">
        <v>37</v>
      </c>
      <c r="F159" s="259">
        <v>27.5</v>
      </c>
      <c r="G159" s="259">
        <v>7.3</v>
      </c>
      <c r="H159" s="259"/>
      <c r="I159" s="259" t="s">
        <v>924</v>
      </c>
      <c r="J159" s="32"/>
      <c r="K159" s="259" t="s">
        <v>938</v>
      </c>
      <c r="L159" s="328" t="s">
        <v>711</v>
      </c>
      <c r="M159" s="259">
        <v>822</v>
      </c>
      <c r="N159" s="259">
        <v>324</v>
      </c>
      <c r="O159" s="259" t="s">
        <v>1475</v>
      </c>
      <c r="P159" s="394" t="s">
        <v>1022</v>
      </c>
      <c r="Q159" s="259"/>
      <c r="R159" s="32" t="s">
        <v>1589</v>
      </c>
      <c r="S159" s="259" t="s">
        <v>1446</v>
      </c>
      <c r="T159" s="259" t="s">
        <v>1474</v>
      </c>
      <c r="U159" s="259"/>
      <c r="V159" s="264">
        <v>0.52</v>
      </c>
      <c r="W159" s="259">
        <v>1</v>
      </c>
      <c r="X159" s="261">
        <v>1</v>
      </c>
      <c r="Y159" s="257">
        <f t="shared" si="11"/>
        <v>0.52</v>
      </c>
      <c r="Z159" s="397"/>
      <c r="AA159" s="397"/>
      <c r="AB159" s="324"/>
      <c r="AC159" s="266"/>
      <c r="AD159" s="328"/>
      <c r="AE159" s="259"/>
      <c r="AF159" s="259"/>
      <c r="AG159" s="259"/>
      <c r="AH159" s="259"/>
      <c r="AI159" s="259"/>
    </row>
    <row r="160" spans="1:35" ht="19" customHeight="1">
      <c r="A160" s="252" t="s">
        <v>925</v>
      </c>
      <c r="B160" s="259" t="s">
        <v>1609</v>
      </c>
      <c r="C160" s="259">
        <v>2020</v>
      </c>
      <c r="D160" s="259"/>
      <c r="E160" s="382">
        <v>19</v>
      </c>
      <c r="F160" s="259">
        <v>23.5</v>
      </c>
      <c r="G160" s="259">
        <v>6.1</v>
      </c>
      <c r="H160" s="259"/>
      <c r="I160" s="259" t="s">
        <v>924</v>
      </c>
      <c r="J160" s="32"/>
      <c r="K160" s="259" t="s">
        <v>938</v>
      </c>
      <c r="L160" s="328" t="s">
        <v>711</v>
      </c>
      <c r="M160" s="164">
        <v>1042</v>
      </c>
      <c r="N160" s="164">
        <v>428</v>
      </c>
      <c r="O160" s="110" t="s">
        <v>1877</v>
      </c>
      <c r="P160" s="394" t="s">
        <v>1022</v>
      </c>
      <c r="Q160" s="259"/>
      <c r="R160" s="259" t="s">
        <v>2274</v>
      </c>
      <c r="S160" s="259"/>
      <c r="T160" s="259" t="s">
        <v>827</v>
      </c>
      <c r="U160" s="259"/>
      <c r="V160" s="264">
        <v>0.11</v>
      </c>
      <c r="W160" s="252">
        <v>1</v>
      </c>
      <c r="X160" s="261">
        <v>1</v>
      </c>
      <c r="Y160" s="257">
        <f t="shared" si="11"/>
        <v>0.11</v>
      </c>
      <c r="Z160" s="397"/>
      <c r="AA160" s="397"/>
      <c r="AB160" s="324"/>
      <c r="AC160" s="266"/>
      <c r="AD160" s="328"/>
      <c r="AE160" s="259"/>
      <c r="AF160" s="259"/>
      <c r="AG160" s="259"/>
      <c r="AH160" s="259"/>
      <c r="AI160" s="259"/>
    </row>
    <row r="161" spans="1:35" ht="19" customHeight="1">
      <c r="A161" s="252" t="s">
        <v>925</v>
      </c>
      <c r="B161" s="259" t="s">
        <v>1609</v>
      </c>
      <c r="C161" s="259">
        <v>2020</v>
      </c>
      <c r="D161" s="259"/>
      <c r="E161" s="382">
        <v>19</v>
      </c>
      <c r="F161" s="259">
        <v>23.5</v>
      </c>
      <c r="G161" s="259">
        <v>6.1</v>
      </c>
      <c r="H161" s="259"/>
      <c r="I161" s="259" t="s">
        <v>924</v>
      </c>
      <c r="J161" s="32"/>
      <c r="K161" s="259" t="s">
        <v>938</v>
      </c>
      <c r="L161" s="328" t="s">
        <v>711</v>
      </c>
      <c r="M161" s="164">
        <v>1042</v>
      </c>
      <c r="N161" s="164">
        <v>428</v>
      </c>
      <c r="O161" s="110" t="s">
        <v>1877</v>
      </c>
      <c r="P161" s="394" t="s">
        <v>1022</v>
      </c>
      <c r="Q161" s="259"/>
      <c r="R161" s="32" t="s">
        <v>1589</v>
      </c>
      <c r="S161" s="259" t="s">
        <v>1026</v>
      </c>
      <c r="T161" s="259" t="s">
        <v>1426</v>
      </c>
      <c r="U161" s="259"/>
      <c r="V161" s="264">
        <v>0.16</v>
      </c>
      <c r="W161" s="252">
        <v>1</v>
      </c>
      <c r="X161" s="261">
        <v>1</v>
      </c>
      <c r="Y161" s="257">
        <f t="shared" si="11"/>
        <v>0.16</v>
      </c>
      <c r="Z161" s="397"/>
      <c r="AA161" s="397"/>
      <c r="AB161" s="324"/>
      <c r="AC161" s="266"/>
      <c r="AD161" s="328"/>
      <c r="AE161" s="259"/>
      <c r="AF161" s="259"/>
      <c r="AG161" s="259"/>
      <c r="AH161" s="259"/>
      <c r="AI161" s="259"/>
    </row>
    <row r="162" spans="1:35" ht="19" customHeight="1">
      <c r="A162" s="252" t="s">
        <v>925</v>
      </c>
      <c r="B162" s="259" t="s">
        <v>1609</v>
      </c>
      <c r="C162" s="259">
        <v>2020</v>
      </c>
      <c r="D162" s="259"/>
      <c r="E162" s="382">
        <v>19</v>
      </c>
      <c r="F162" s="259">
        <v>23.5</v>
      </c>
      <c r="G162" s="259">
        <v>6.1</v>
      </c>
      <c r="H162" s="259"/>
      <c r="I162" s="259" t="s">
        <v>924</v>
      </c>
      <c r="J162" s="32"/>
      <c r="K162" s="259" t="s">
        <v>938</v>
      </c>
      <c r="L162" s="328" t="s">
        <v>711</v>
      </c>
      <c r="M162" s="164">
        <v>1042</v>
      </c>
      <c r="N162" s="164">
        <v>428</v>
      </c>
      <c r="O162" s="110" t="s">
        <v>1877</v>
      </c>
      <c r="P162" s="394" t="s">
        <v>1022</v>
      </c>
      <c r="Q162" s="259"/>
      <c r="R162" s="32" t="s">
        <v>1589</v>
      </c>
      <c r="S162" s="259" t="s">
        <v>1026</v>
      </c>
      <c r="T162" s="259" t="s">
        <v>1474</v>
      </c>
      <c r="U162" s="259"/>
      <c r="V162" s="264">
        <v>0.21</v>
      </c>
      <c r="W162" s="252">
        <v>1</v>
      </c>
      <c r="X162" s="261">
        <v>1</v>
      </c>
      <c r="Y162" s="257">
        <f t="shared" si="11"/>
        <v>0.21</v>
      </c>
      <c r="Z162" s="397"/>
      <c r="AA162" s="397"/>
      <c r="AB162" s="324"/>
      <c r="AC162" s="266"/>
      <c r="AD162" s="328"/>
      <c r="AE162" s="259"/>
      <c r="AF162" s="259"/>
      <c r="AG162" s="259"/>
      <c r="AH162" s="259"/>
      <c r="AI162" s="259"/>
    </row>
    <row r="163" spans="1:35" ht="19" customHeight="1">
      <c r="A163" s="252" t="s">
        <v>925</v>
      </c>
      <c r="B163" s="259" t="s">
        <v>1613</v>
      </c>
      <c r="C163" s="259">
        <v>2017</v>
      </c>
      <c r="D163" s="259"/>
      <c r="E163" s="382">
        <v>9</v>
      </c>
      <c r="F163" s="259">
        <v>29</v>
      </c>
      <c r="G163" s="259" t="s">
        <v>947</v>
      </c>
      <c r="H163" s="259"/>
      <c r="I163" s="259" t="s">
        <v>924</v>
      </c>
      <c r="J163" s="259"/>
      <c r="K163" s="259" t="s">
        <v>948</v>
      </c>
      <c r="L163" s="328" t="s">
        <v>711</v>
      </c>
      <c r="M163" s="259">
        <v>918</v>
      </c>
      <c r="N163" s="259">
        <v>373</v>
      </c>
      <c r="O163" s="259" t="s">
        <v>1991</v>
      </c>
      <c r="P163" s="394" t="s">
        <v>1022</v>
      </c>
      <c r="Q163" s="259"/>
      <c r="R163" s="32" t="s">
        <v>1589</v>
      </c>
      <c r="S163" s="259" t="s">
        <v>1023</v>
      </c>
      <c r="T163" s="259" t="s">
        <v>1024</v>
      </c>
      <c r="V163" s="264">
        <v>-0.41</v>
      </c>
      <c r="W163" s="259">
        <v>-1</v>
      </c>
      <c r="X163" s="261">
        <v>1</v>
      </c>
      <c r="Y163" s="257">
        <f t="shared" si="11"/>
        <v>0.41</v>
      </c>
      <c r="Z163" s="397"/>
      <c r="AA163" s="397"/>
      <c r="AB163" s="324"/>
      <c r="AC163" s="266"/>
      <c r="AD163" s="328" t="s">
        <v>950</v>
      </c>
      <c r="AE163" s="259"/>
      <c r="AF163" s="259"/>
      <c r="AG163" s="259"/>
      <c r="AH163" s="245"/>
      <c r="AI163" s="245"/>
    </row>
    <row r="164" spans="1:35" ht="19" customHeight="1">
      <c r="A164" s="252" t="s">
        <v>932</v>
      </c>
      <c r="B164" s="288" t="s">
        <v>2153</v>
      </c>
      <c r="C164" s="272">
        <v>2007</v>
      </c>
      <c r="E164" s="267">
        <v>12</v>
      </c>
      <c r="F164" s="271">
        <v>28.5</v>
      </c>
      <c r="G164" s="273">
        <v>3.3</v>
      </c>
      <c r="H164" s="252" t="s">
        <v>24</v>
      </c>
      <c r="I164" s="252" t="s">
        <v>924</v>
      </c>
      <c r="K164" s="252" t="s">
        <v>2223</v>
      </c>
      <c r="L164" s="328" t="s">
        <v>711</v>
      </c>
      <c r="M164" s="252" t="s">
        <v>2184</v>
      </c>
      <c r="N164" s="252" t="s">
        <v>2184</v>
      </c>
      <c r="O164" s="252" t="s">
        <v>24</v>
      </c>
      <c r="P164" s="394" t="s">
        <v>1022</v>
      </c>
      <c r="R164" s="259" t="s">
        <v>2238</v>
      </c>
      <c r="T164" s="259" t="s">
        <v>2241</v>
      </c>
      <c r="U164" s="252" t="s">
        <v>2224</v>
      </c>
      <c r="V164" s="260">
        <v>-0.64</v>
      </c>
      <c r="W164" s="261">
        <v>-1</v>
      </c>
      <c r="X164" s="261">
        <v>1</v>
      </c>
      <c r="Y164" s="262">
        <f t="shared" si="11"/>
        <v>0.64</v>
      </c>
      <c r="AB164" s="337"/>
      <c r="AC164" s="252"/>
      <c r="AD164" s="328"/>
      <c r="AE164" s="259"/>
      <c r="AF164" s="259"/>
      <c r="AG164" s="259"/>
      <c r="AH164" s="245"/>
      <c r="AI164" s="245"/>
    </row>
    <row r="165" spans="1:35" ht="19" customHeight="1">
      <c r="A165" s="252" t="s">
        <v>932</v>
      </c>
      <c r="B165" s="288" t="s">
        <v>2153</v>
      </c>
      <c r="C165" s="272">
        <v>2007</v>
      </c>
      <c r="E165" s="267">
        <v>12</v>
      </c>
      <c r="F165" s="271">
        <v>28.5</v>
      </c>
      <c r="G165" s="273">
        <v>3.3</v>
      </c>
      <c r="H165" s="252" t="s">
        <v>24</v>
      </c>
      <c r="I165" s="252" t="s">
        <v>924</v>
      </c>
      <c r="K165" s="252" t="s">
        <v>2223</v>
      </c>
      <c r="L165" s="328" t="s">
        <v>711</v>
      </c>
      <c r="M165" s="252" t="s">
        <v>2184</v>
      </c>
      <c r="N165" s="252" t="s">
        <v>2184</v>
      </c>
      <c r="O165" s="252" t="s">
        <v>24</v>
      </c>
      <c r="P165" s="394" t="s">
        <v>1022</v>
      </c>
      <c r="Q165" s="259"/>
      <c r="R165" s="259" t="s">
        <v>2238</v>
      </c>
      <c r="T165" s="259" t="s">
        <v>2243</v>
      </c>
      <c r="U165" s="252" t="s">
        <v>2224</v>
      </c>
      <c r="V165" s="260">
        <v>-0.64</v>
      </c>
      <c r="W165" s="261">
        <v>-1</v>
      </c>
      <c r="X165" s="261">
        <v>1</v>
      </c>
      <c r="Y165" s="262">
        <f t="shared" si="11"/>
        <v>0.64</v>
      </c>
      <c r="AB165" s="324"/>
      <c r="AC165" s="266"/>
      <c r="AD165" s="328"/>
      <c r="AE165" s="259"/>
      <c r="AF165" s="259"/>
      <c r="AG165" s="259"/>
      <c r="AH165" s="259"/>
      <c r="AI165" s="259"/>
    </row>
    <row r="166" spans="1:35" ht="16.5" customHeight="1">
      <c r="A166" s="252" t="s">
        <v>1144</v>
      </c>
      <c r="B166" s="259" t="s">
        <v>1424</v>
      </c>
      <c r="C166" s="259">
        <v>2013</v>
      </c>
      <c r="D166" s="259"/>
      <c r="E166" s="382">
        <v>46</v>
      </c>
      <c r="F166" s="259">
        <f>129/12</f>
        <v>10.75</v>
      </c>
      <c r="G166" s="259">
        <v>2.1</v>
      </c>
      <c r="H166" s="268" t="s">
        <v>1191</v>
      </c>
      <c r="I166" s="259" t="s">
        <v>924</v>
      </c>
      <c r="J166" s="32"/>
      <c r="K166" s="259"/>
      <c r="L166" s="328" t="s">
        <v>2254</v>
      </c>
      <c r="M166" s="259">
        <v>490</v>
      </c>
      <c r="N166" s="259">
        <v>375</v>
      </c>
      <c r="O166" s="259" t="s">
        <v>1192</v>
      </c>
      <c r="P166" s="394" t="s">
        <v>1022</v>
      </c>
      <c r="Q166" s="259"/>
      <c r="R166" s="32" t="s">
        <v>1589</v>
      </c>
      <c r="S166" s="259" t="s">
        <v>1425</v>
      </c>
      <c r="T166" s="259" t="s">
        <v>1024</v>
      </c>
      <c r="U166" s="259"/>
      <c r="V166" s="264">
        <v>-0.29099999999999998</v>
      </c>
      <c r="W166" s="259">
        <v>-1</v>
      </c>
      <c r="X166" s="261">
        <v>1</v>
      </c>
      <c r="Y166" s="257">
        <f t="shared" si="11"/>
        <v>0.29099999999999998</v>
      </c>
      <c r="Z166" s="397"/>
      <c r="AA166" s="397"/>
      <c r="AB166" s="322">
        <f>AVERAGE(Y155:Y166)</f>
        <v>0.40558333333333335</v>
      </c>
      <c r="AC166" s="266"/>
      <c r="AD166" s="328"/>
      <c r="AE166" s="259"/>
      <c r="AF166" s="259"/>
      <c r="AG166" s="259"/>
      <c r="AH166" s="245"/>
      <c r="AI166" s="245"/>
    </row>
    <row r="167" spans="1:35" ht="16.5" customHeight="1">
      <c r="B167" s="259"/>
      <c r="C167" s="259"/>
      <c r="D167" s="259"/>
      <c r="E167" s="382"/>
      <c r="F167" s="259"/>
      <c r="G167" s="259"/>
      <c r="H167" s="268"/>
      <c r="I167" s="259"/>
      <c r="J167" s="32"/>
      <c r="K167" s="259"/>
      <c r="L167" s="328"/>
      <c r="M167" s="259"/>
      <c r="N167" s="259"/>
      <c r="O167" s="259"/>
      <c r="P167" s="394"/>
      <c r="Q167" s="259"/>
      <c r="R167" s="32"/>
      <c r="S167" s="259"/>
      <c r="T167" s="259"/>
      <c r="U167" s="259"/>
      <c r="V167" s="264"/>
      <c r="W167" s="259"/>
      <c r="X167" s="261"/>
      <c r="Y167" s="257"/>
      <c r="Z167" s="397"/>
      <c r="AA167" s="397"/>
      <c r="AB167" s="324"/>
      <c r="AC167" s="266"/>
      <c r="AD167" s="328"/>
      <c r="AE167" s="259"/>
      <c r="AF167" s="259"/>
      <c r="AG167" s="259"/>
      <c r="AH167" s="245"/>
      <c r="AI167" s="245"/>
    </row>
    <row r="168" spans="1:35" ht="19" customHeight="1">
      <c r="A168" s="252" t="s">
        <v>925</v>
      </c>
      <c r="B168" s="259" t="s">
        <v>1610</v>
      </c>
      <c r="C168" s="259">
        <v>2022</v>
      </c>
      <c r="D168" s="259"/>
      <c r="E168" s="382">
        <v>151</v>
      </c>
      <c r="F168" s="259">
        <v>32.380000000000003</v>
      </c>
      <c r="G168" s="259">
        <v>9.0399999999999991</v>
      </c>
      <c r="H168" s="259"/>
      <c r="I168" s="259" t="s">
        <v>924</v>
      </c>
      <c r="J168" s="32"/>
      <c r="K168" s="259" t="s">
        <v>1058</v>
      </c>
      <c r="L168" s="328" t="s">
        <v>711</v>
      </c>
      <c r="M168" s="259">
        <v>1058.68</v>
      </c>
      <c r="N168" s="259" t="s">
        <v>1046</v>
      </c>
      <c r="O168" s="259" t="s">
        <v>1384</v>
      </c>
      <c r="P168" s="319" t="s">
        <v>89</v>
      </c>
      <c r="Q168" s="259"/>
      <c r="R168" s="259" t="s">
        <v>92</v>
      </c>
      <c r="S168" s="259" t="s">
        <v>1605</v>
      </c>
      <c r="V168" s="264">
        <v>-8.5000000000000006E-2</v>
      </c>
      <c r="W168" s="261">
        <v>-1</v>
      </c>
      <c r="X168" s="261">
        <v>1</v>
      </c>
      <c r="Y168" s="257">
        <f t="shared" ref="Y168:Y189" si="12">V168*W168</f>
        <v>8.5000000000000006E-2</v>
      </c>
      <c r="Z168" s="397"/>
      <c r="AA168" s="397"/>
      <c r="AB168" s="324"/>
      <c r="AC168" s="265">
        <v>-9.7739999999999996E-5</v>
      </c>
      <c r="AD168" s="327">
        <v>3.3579999999999998E-4</v>
      </c>
      <c r="AE168" s="266">
        <v>-0.47</v>
      </c>
      <c r="AF168" s="266">
        <v>0.83</v>
      </c>
      <c r="AG168" s="265"/>
      <c r="AH168" s="245" t="s">
        <v>1345</v>
      </c>
      <c r="AI168" s="245"/>
    </row>
    <row r="169" spans="1:35" ht="19" customHeight="1">
      <c r="A169" s="252" t="s">
        <v>925</v>
      </c>
      <c r="B169" s="259" t="s">
        <v>1610</v>
      </c>
      <c r="C169" s="259">
        <v>2022</v>
      </c>
      <c r="D169" s="259"/>
      <c r="E169" s="382">
        <v>153</v>
      </c>
      <c r="F169" s="259">
        <v>32.380000000000003</v>
      </c>
      <c r="G169" s="259">
        <v>9.0399999999999991</v>
      </c>
      <c r="H169" s="259"/>
      <c r="I169" s="259" t="s">
        <v>924</v>
      </c>
      <c r="J169" s="32"/>
      <c r="K169" s="259" t="s">
        <v>1059</v>
      </c>
      <c r="L169" s="328" t="s">
        <v>711</v>
      </c>
      <c r="M169" s="259">
        <v>1058.68</v>
      </c>
      <c r="N169" s="259" t="s">
        <v>1046</v>
      </c>
      <c r="O169" s="259" t="s">
        <v>1385</v>
      </c>
      <c r="P169" s="319" t="s">
        <v>89</v>
      </c>
      <c r="Q169" s="259"/>
      <c r="R169" s="259" t="s">
        <v>92</v>
      </c>
      <c r="S169" s="259" t="s">
        <v>1606</v>
      </c>
      <c r="V169" s="264">
        <v>7.4999999999999997E-2</v>
      </c>
      <c r="W169" s="261">
        <v>-1</v>
      </c>
      <c r="X169" s="261">
        <v>1</v>
      </c>
      <c r="Y169" s="257">
        <f t="shared" si="12"/>
        <v>-7.4999999999999997E-2</v>
      </c>
      <c r="Z169" s="397"/>
      <c r="AA169" s="397"/>
      <c r="AB169" s="324"/>
      <c r="AC169" s="265">
        <v>1.8100000000000001E-4</v>
      </c>
      <c r="AD169" s="327">
        <v>-4.1800000000000002E-4</v>
      </c>
      <c r="AE169" s="266">
        <v>-0.33</v>
      </c>
      <c r="AF169" s="266">
        <v>1</v>
      </c>
      <c r="AG169" s="265"/>
      <c r="AH169" s="245" t="s">
        <v>1060</v>
      </c>
      <c r="AI169" s="245"/>
    </row>
    <row r="170" spans="1:35" ht="19" customHeight="1">
      <c r="A170" s="252" t="s">
        <v>925</v>
      </c>
      <c r="B170" s="259" t="s">
        <v>1609</v>
      </c>
      <c r="C170" s="259">
        <v>2017</v>
      </c>
      <c r="D170" s="259"/>
      <c r="E170" s="382">
        <v>37</v>
      </c>
      <c r="F170" s="259">
        <v>27.5</v>
      </c>
      <c r="G170" s="259">
        <v>7.3</v>
      </c>
      <c r="H170" s="259"/>
      <c r="I170" s="259" t="s">
        <v>924</v>
      </c>
      <c r="J170" s="32"/>
      <c r="K170" s="259" t="s">
        <v>938</v>
      </c>
      <c r="L170" s="328" t="s">
        <v>711</v>
      </c>
      <c r="M170" s="259">
        <v>822</v>
      </c>
      <c r="N170" s="259">
        <v>324</v>
      </c>
      <c r="O170" s="259" t="s">
        <v>1475</v>
      </c>
      <c r="P170" s="319" t="s">
        <v>89</v>
      </c>
      <c r="Q170" s="259"/>
      <c r="R170" s="259" t="s">
        <v>92</v>
      </c>
      <c r="S170" s="259" t="s">
        <v>1606</v>
      </c>
      <c r="T170" s="259"/>
      <c r="U170" s="259"/>
      <c r="V170" s="264">
        <v>-7.0000000000000007E-2</v>
      </c>
      <c r="W170" s="259">
        <v>-1</v>
      </c>
      <c r="X170" s="261">
        <v>1</v>
      </c>
      <c r="Y170" s="257">
        <f t="shared" si="12"/>
        <v>7.0000000000000007E-2</v>
      </c>
      <c r="Z170" s="397"/>
      <c r="AA170" s="397"/>
      <c r="AB170" s="324"/>
      <c r="AC170" s="266"/>
      <c r="AD170" s="328"/>
      <c r="AE170" s="259"/>
      <c r="AF170" s="259"/>
      <c r="AG170" s="259"/>
      <c r="AH170" s="259"/>
      <c r="AI170" s="259"/>
    </row>
    <row r="171" spans="1:35" ht="19" customHeight="1">
      <c r="A171" s="252" t="s">
        <v>925</v>
      </c>
      <c r="B171" s="259" t="s">
        <v>1609</v>
      </c>
      <c r="C171" s="259">
        <v>2020</v>
      </c>
      <c r="D171" s="259"/>
      <c r="E171" s="382">
        <v>19</v>
      </c>
      <c r="F171" s="259">
        <v>23.5</v>
      </c>
      <c r="G171" s="259">
        <v>6.1</v>
      </c>
      <c r="H171" s="259"/>
      <c r="I171" s="259" t="s">
        <v>924</v>
      </c>
      <c r="J171" s="32"/>
      <c r="K171" s="259" t="s">
        <v>938</v>
      </c>
      <c r="L171" s="328" t="s">
        <v>711</v>
      </c>
      <c r="M171" s="164">
        <v>1042</v>
      </c>
      <c r="N171" s="164">
        <v>428</v>
      </c>
      <c r="O171" s="110" t="s">
        <v>1877</v>
      </c>
      <c r="P171" s="319" t="s">
        <v>89</v>
      </c>
      <c r="Q171" s="259"/>
      <c r="R171" s="259" t="s">
        <v>92</v>
      </c>
      <c r="S171" s="259" t="s">
        <v>1606</v>
      </c>
      <c r="T171" s="259"/>
      <c r="U171" s="259"/>
      <c r="V171" s="264">
        <v>0.6</v>
      </c>
      <c r="W171" s="252">
        <v>1</v>
      </c>
      <c r="X171" s="261">
        <v>1</v>
      </c>
      <c r="Y171" s="257">
        <f t="shared" si="12"/>
        <v>0.6</v>
      </c>
      <c r="Z171" s="397"/>
      <c r="AA171" s="397"/>
      <c r="AB171" s="324"/>
      <c r="AC171" s="266"/>
      <c r="AD171" s="328"/>
      <c r="AE171" s="259"/>
      <c r="AF171" s="259"/>
      <c r="AG171" s="259"/>
      <c r="AH171" s="259"/>
      <c r="AI171" s="259"/>
    </row>
    <row r="172" spans="1:35" ht="19" customHeight="1">
      <c r="A172" s="252" t="s">
        <v>925</v>
      </c>
      <c r="B172" s="259" t="s">
        <v>1609</v>
      </c>
      <c r="C172" s="259">
        <v>2017</v>
      </c>
      <c r="D172" s="259"/>
      <c r="E172" s="382">
        <v>37</v>
      </c>
      <c r="F172" s="259">
        <v>27.5</v>
      </c>
      <c r="G172" s="259">
        <v>7.3</v>
      </c>
      <c r="H172" s="259"/>
      <c r="I172" s="259" t="s">
        <v>924</v>
      </c>
      <c r="J172" s="32"/>
      <c r="K172" s="259" t="s">
        <v>938</v>
      </c>
      <c r="L172" s="328" t="s">
        <v>711</v>
      </c>
      <c r="M172" s="259">
        <v>822</v>
      </c>
      <c r="N172" s="259">
        <v>324</v>
      </c>
      <c r="O172" s="259" t="s">
        <v>1475</v>
      </c>
      <c r="P172" s="319" t="s">
        <v>89</v>
      </c>
      <c r="Q172" s="259"/>
      <c r="R172" s="259" t="s">
        <v>1473</v>
      </c>
      <c r="S172" s="259"/>
      <c r="T172" s="259"/>
      <c r="U172" s="259"/>
      <c r="V172" s="264">
        <v>-0.16</v>
      </c>
      <c r="W172" s="259">
        <v>-1</v>
      </c>
      <c r="X172" s="261">
        <v>1</v>
      </c>
      <c r="Y172" s="257">
        <f t="shared" si="12"/>
        <v>0.16</v>
      </c>
      <c r="Z172" s="397"/>
      <c r="AA172" s="397"/>
      <c r="AB172" s="324"/>
      <c r="AC172" s="266"/>
      <c r="AD172" s="328"/>
      <c r="AE172" s="259"/>
      <c r="AF172" s="259"/>
      <c r="AG172" s="259"/>
      <c r="AH172" s="259"/>
      <c r="AI172" s="259"/>
    </row>
    <row r="173" spans="1:35" ht="19" customHeight="1">
      <c r="A173" s="252" t="s">
        <v>932</v>
      </c>
      <c r="B173" s="252" t="s">
        <v>933</v>
      </c>
      <c r="C173" s="252">
        <v>2023</v>
      </c>
      <c r="E173" s="267">
        <v>40</v>
      </c>
      <c r="F173" s="252">
        <v>26.4</v>
      </c>
      <c r="G173" s="252">
        <v>5.5</v>
      </c>
      <c r="I173" s="259" t="s">
        <v>924</v>
      </c>
      <c r="L173" s="323" t="s">
        <v>934</v>
      </c>
      <c r="M173" s="252">
        <v>589</v>
      </c>
      <c r="N173" s="252">
        <v>444</v>
      </c>
      <c r="O173" s="252" t="s">
        <v>1061</v>
      </c>
      <c r="P173" s="319" t="s">
        <v>89</v>
      </c>
      <c r="Q173" s="259"/>
      <c r="R173" s="252" t="s">
        <v>1062</v>
      </c>
      <c r="U173" s="252" t="s">
        <v>1456</v>
      </c>
      <c r="V173" s="260">
        <v>-0.15</v>
      </c>
      <c r="W173" s="252">
        <v>-1</v>
      </c>
      <c r="X173" s="261">
        <v>1</v>
      </c>
      <c r="Y173" s="257">
        <f t="shared" si="12"/>
        <v>0.15</v>
      </c>
      <c r="Z173" s="397"/>
      <c r="AA173" s="397"/>
      <c r="AB173" s="324"/>
      <c r="AC173" s="266"/>
    </row>
    <row r="174" spans="1:35" ht="19" customHeight="1">
      <c r="A174" s="252" t="s">
        <v>932</v>
      </c>
      <c r="B174" s="252" t="s">
        <v>1002</v>
      </c>
      <c r="C174" s="252">
        <v>2007</v>
      </c>
      <c r="D174" s="252" t="s">
        <v>1005</v>
      </c>
      <c r="E174" s="267">
        <v>25</v>
      </c>
      <c r="F174" s="252">
        <v>26.68</v>
      </c>
      <c r="G174" s="252">
        <v>4.92</v>
      </c>
      <c r="I174" s="259" t="s">
        <v>924</v>
      </c>
      <c r="L174" s="328" t="s">
        <v>711</v>
      </c>
      <c r="M174" s="252">
        <v>758.79</v>
      </c>
      <c r="N174" s="252">
        <v>261.27</v>
      </c>
      <c r="O174" s="252" t="s">
        <v>1006</v>
      </c>
      <c r="P174" s="319" t="s">
        <v>89</v>
      </c>
      <c r="Q174" s="259"/>
      <c r="R174" s="252" t="s">
        <v>1170</v>
      </c>
      <c r="S174" s="32" t="s">
        <v>1072</v>
      </c>
      <c r="V174" s="260">
        <v>-0.33</v>
      </c>
      <c r="W174" s="252">
        <v>-1</v>
      </c>
      <c r="X174" s="277">
        <v>0</v>
      </c>
      <c r="Y174" s="278">
        <f t="shared" si="12"/>
        <v>0.33</v>
      </c>
      <c r="Z174" s="397"/>
      <c r="AA174" s="397"/>
      <c r="AB174" s="336" t="s">
        <v>2306</v>
      </c>
    </row>
    <row r="175" spans="1:35" ht="19" customHeight="1">
      <c r="A175" s="252" t="s">
        <v>932</v>
      </c>
      <c r="B175" s="252" t="s">
        <v>1002</v>
      </c>
      <c r="C175" s="252">
        <v>2007</v>
      </c>
      <c r="D175" s="252" t="s">
        <v>1003</v>
      </c>
      <c r="E175" s="267">
        <v>25</v>
      </c>
      <c r="F175" s="252">
        <v>27.48</v>
      </c>
      <c r="G175" s="252">
        <v>4.55</v>
      </c>
      <c r="I175" s="259" t="s">
        <v>924</v>
      </c>
      <c r="L175" s="328" t="s">
        <v>711</v>
      </c>
      <c r="M175" s="252">
        <v>1258.68</v>
      </c>
      <c r="N175" s="252">
        <v>197.83</v>
      </c>
      <c r="O175" s="252" t="s">
        <v>1004</v>
      </c>
      <c r="P175" s="319" t="s">
        <v>89</v>
      </c>
      <c r="Q175" s="259"/>
      <c r="R175" s="252" t="s">
        <v>1170</v>
      </c>
      <c r="S175" s="32" t="s">
        <v>1066</v>
      </c>
      <c r="V175" s="260">
        <v>-0.24</v>
      </c>
      <c r="W175" s="252">
        <v>-1</v>
      </c>
      <c r="X175" s="277">
        <v>0</v>
      </c>
      <c r="Y175" s="278">
        <f t="shared" si="12"/>
        <v>0.24</v>
      </c>
      <c r="Z175" s="397"/>
      <c r="AA175" s="397"/>
      <c r="AB175" s="336" t="s">
        <v>2306</v>
      </c>
    </row>
    <row r="176" spans="1:35" ht="19" customHeight="1">
      <c r="A176" s="252" t="s">
        <v>932</v>
      </c>
      <c r="B176" s="252" t="s">
        <v>1002</v>
      </c>
      <c r="C176" s="252">
        <v>2007</v>
      </c>
      <c r="D176" s="252" t="s">
        <v>1005</v>
      </c>
      <c r="E176" s="267">
        <v>25</v>
      </c>
      <c r="F176" s="252">
        <v>26.68</v>
      </c>
      <c r="G176" s="252">
        <v>4.92</v>
      </c>
      <c r="I176" s="259" t="s">
        <v>924</v>
      </c>
      <c r="L176" s="328" t="s">
        <v>711</v>
      </c>
      <c r="M176" s="252">
        <v>758.79</v>
      </c>
      <c r="N176" s="252">
        <v>261.27</v>
      </c>
      <c r="O176" s="252" t="s">
        <v>1006</v>
      </c>
      <c r="P176" s="319" t="s">
        <v>89</v>
      </c>
      <c r="Q176" s="259"/>
      <c r="R176" s="252" t="s">
        <v>1170</v>
      </c>
      <c r="S176" s="32" t="s">
        <v>1066</v>
      </c>
      <c r="V176" s="260">
        <v>-0.14000000000000001</v>
      </c>
      <c r="W176" s="252">
        <v>-1</v>
      </c>
      <c r="X176" s="277">
        <v>0</v>
      </c>
      <c r="Y176" s="278">
        <f t="shared" si="12"/>
        <v>0.14000000000000001</v>
      </c>
      <c r="Z176" s="397"/>
      <c r="AA176" s="397"/>
      <c r="AB176" s="336" t="s">
        <v>2306</v>
      </c>
    </row>
    <row r="177" spans="1:35" ht="19" customHeight="1">
      <c r="A177" s="252" t="s">
        <v>932</v>
      </c>
      <c r="B177" s="252" t="s">
        <v>1002</v>
      </c>
      <c r="C177" s="252">
        <v>2007</v>
      </c>
      <c r="D177" s="252" t="s">
        <v>1003</v>
      </c>
      <c r="E177" s="267">
        <v>25</v>
      </c>
      <c r="F177" s="252">
        <v>27.48</v>
      </c>
      <c r="G177" s="252">
        <v>4.55</v>
      </c>
      <c r="I177" s="259" t="s">
        <v>924</v>
      </c>
      <c r="L177" s="328" t="s">
        <v>711</v>
      </c>
      <c r="M177" s="252">
        <v>1258.68</v>
      </c>
      <c r="N177" s="252">
        <v>197.83</v>
      </c>
      <c r="O177" s="252" t="s">
        <v>1004</v>
      </c>
      <c r="P177" s="319" t="s">
        <v>89</v>
      </c>
      <c r="Q177" s="259"/>
      <c r="R177" s="252" t="s">
        <v>1170</v>
      </c>
      <c r="S177" s="32" t="s">
        <v>1067</v>
      </c>
      <c r="V177" s="260">
        <v>-0.24</v>
      </c>
      <c r="W177" s="252">
        <v>-1</v>
      </c>
      <c r="X177" s="277">
        <v>0</v>
      </c>
      <c r="Y177" s="278">
        <f t="shared" si="12"/>
        <v>0.24</v>
      </c>
      <c r="Z177" s="397"/>
      <c r="AA177" s="397"/>
      <c r="AB177" s="336" t="s">
        <v>2306</v>
      </c>
    </row>
    <row r="178" spans="1:35" ht="19" customHeight="1">
      <c r="A178" s="252" t="s">
        <v>932</v>
      </c>
      <c r="B178" s="252" t="s">
        <v>1002</v>
      </c>
      <c r="C178" s="252">
        <v>2007</v>
      </c>
      <c r="D178" s="252" t="s">
        <v>1005</v>
      </c>
      <c r="E178" s="267">
        <v>25</v>
      </c>
      <c r="F178" s="252">
        <v>26.68</v>
      </c>
      <c r="G178" s="252">
        <v>4.92</v>
      </c>
      <c r="I178" s="259" t="s">
        <v>924</v>
      </c>
      <c r="L178" s="328" t="s">
        <v>711</v>
      </c>
      <c r="M178" s="252">
        <v>758.79</v>
      </c>
      <c r="N178" s="252">
        <v>261.27</v>
      </c>
      <c r="O178" s="252" t="s">
        <v>1006</v>
      </c>
      <c r="P178" s="319" t="s">
        <v>89</v>
      </c>
      <c r="Q178" s="259"/>
      <c r="R178" s="252" t="s">
        <v>1170</v>
      </c>
      <c r="S178" s="32" t="s">
        <v>1067</v>
      </c>
      <c r="V178" s="260">
        <v>-7.0000000000000007E-2</v>
      </c>
      <c r="W178" s="252">
        <v>-1</v>
      </c>
      <c r="X178" s="277">
        <v>0</v>
      </c>
      <c r="Y178" s="278">
        <f t="shared" si="12"/>
        <v>7.0000000000000007E-2</v>
      </c>
      <c r="Z178" s="397"/>
      <c r="AA178" s="397"/>
      <c r="AB178" s="336" t="s">
        <v>2306</v>
      </c>
    </row>
    <row r="179" spans="1:35" ht="19" customHeight="1">
      <c r="A179" s="252" t="s">
        <v>932</v>
      </c>
      <c r="B179" s="252" t="s">
        <v>1002</v>
      </c>
      <c r="C179" s="252">
        <v>2007</v>
      </c>
      <c r="D179" s="252" t="s">
        <v>1005</v>
      </c>
      <c r="E179" s="267">
        <v>25</v>
      </c>
      <c r="F179" s="252">
        <v>26.68</v>
      </c>
      <c r="G179" s="252">
        <v>4.92</v>
      </c>
      <c r="I179" s="259" t="s">
        <v>924</v>
      </c>
      <c r="L179" s="328" t="s">
        <v>711</v>
      </c>
      <c r="M179" s="252">
        <v>758.79</v>
      </c>
      <c r="N179" s="252">
        <v>261.27</v>
      </c>
      <c r="O179" s="252" t="s">
        <v>1006</v>
      </c>
      <c r="P179" s="319" t="s">
        <v>89</v>
      </c>
      <c r="Q179" s="259"/>
      <c r="R179" s="252" t="s">
        <v>1170</v>
      </c>
      <c r="S179" s="32" t="s">
        <v>1073</v>
      </c>
      <c r="V179" s="260">
        <f>AVERAGE(V174,V176,V178)</f>
        <v>-0.18000000000000002</v>
      </c>
      <c r="W179" s="252">
        <v>-1</v>
      </c>
      <c r="X179" s="261">
        <v>1</v>
      </c>
      <c r="Y179" s="257">
        <f t="shared" si="12"/>
        <v>0.18000000000000002</v>
      </c>
      <c r="Z179" s="397"/>
      <c r="AA179" s="397"/>
      <c r="AB179" s="324"/>
      <c r="AC179" s="266"/>
    </row>
    <row r="180" spans="1:35" ht="19" customHeight="1">
      <c r="A180" s="252" t="s">
        <v>932</v>
      </c>
      <c r="B180" s="252" t="s">
        <v>1002</v>
      </c>
      <c r="C180" s="252">
        <v>2007</v>
      </c>
      <c r="D180" s="252" t="s">
        <v>1003</v>
      </c>
      <c r="E180" s="267">
        <v>25</v>
      </c>
      <c r="F180" s="252">
        <v>27.48</v>
      </c>
      <c r="G180" s="252">
        <v>4.55</v>
      </c>
      <c r="I180" s="259" t="s">
        <v>924</v>
      </c>
      <c r="L180" s="328" t="s">
        <v>711</v>
      </c>
      <c r="M180" s="252">
        <v>1258.68</v>
      </c>
      <c r="N180" s="252">
        <v>197.83</v>
      </c>
      <c r="O180" s="252" t="s">
        <v>1004</v>
      </c>
      <c r="P180" s="319" t="s">
        <v>89</v>
      </c>
      <c r="Q180" s="259"/>
      <c r="R180" s="252" t="s">
        <v>1170</v>
      </c>
      <c r="S180" s="32" t="s">
        <v>1068</v>
      </c>
      <c r="V180" s="260">
        <f>AVERAGE(V175,V177)</f>
        <v>-0.24</v>
      </c>
      <c r="W180" s="252">
        <v>-1</v>
      </c>
      <c r="X180" s="261">
        <v>1</v>
      </c>
      <c r="Y180" s="257">
        <f t="shared" si="12"/>
        <v>0.24</v>
      </c>
      <c r="Z180" s="397"/>
      <c r="AA180" s="397"/>
      <c r="AB180" s="324"/>
      <c r="AC180" s="266"/>
    </row>
    <row r="181" spans="1:35" ht="19" customHeight="1">
      <c r="A181" s="252" t="s">
        <v>932</v>
      </c>
      <c r="B181" s="252" t="s">
        <v>1002</v>
      </c>
      <c r="C181" s="252">
        <v>2007</v>
      </c>
      <c r="D181" s="252" t="s">
        <v>1005</v>
      </c>
      <c r="E181" s="267">
        <v>25</v>
      </c>
      <c r="F181" s="252">
        <v>26.68</v>
      </c>
      <c r="G181" s="252">
        <v>4.92</v>
      </c>
      <c r="I181" s="259" t="s">
        <v>924</v>
      </c>
      <c r="L181" s="328" t="s">
        <v>711</v>
      </c>
      <c r="M181" s="252">
        <v>758.79</v>
      </c>
      <c r="N181" s="252">
        <v>261.27</v>
      </c>
      <c r="O181" s="252" t="s">
        <v>1006</v>
      </c>
      <c r="P181" s="319" t="s">
        <v>89</v>
      </c>
      <c r="Q181" s="259"/>
      <c r="R181" s="252" t="s">
        <v>1170</v>
      </c>
      <c r="S181" s="32" t="s">
        <v>1074</v>
      </c>
      <c r="V181" s="260">
        <v>0.23666666666666666</v>
      </c>
      <c r="W181" s="252">
        <v>1</v>
      </c>
      <c r="X181" s="261">
        <v>1</v>
      </c>
      <c r="Y181" s="257">
        <f t="shared" si="12"/>
        <v>0.23666666666666666</v>
      </c>
      <c r="Z181" s="397"/>
      <c r="AA181" s="397"/>
      <c r="AB181" s="324"/>
      <c r="AC181" s="266"/>
    </row>
    <row r="182" spans="1:35" ht="19" customHeight="1">
      <c r="A182" s="252" t="s">
        <v>932</v>
      </c>
      <c r="B182" s="252" t="s">
        <v>1002</v>
      </c>
      <c r="C182" s="252">
        <v>2007</v>
      </c>
      <c r="D182" s="252" t="s">
        <v>1003</v>
      </c>
      <c r="E182" s="267">
        <v>25</v>
      </c>
      <c r="F182" s="252">
        <v>27.48</v>
      </c>
      <c r="G182" s="252">
        <v>4.55</v>
      </c>
      <c r="I182" s="259" t="s">
        <v>924</v>
      </c>
      <c r="L182" s="328" t="s">
        <v>711</v>
      </c>
      <c r="M182" s="252">
        <v>1258.68</v>
      </c>
      <c r="N182" s="252">
        <v>197.83</v>
      </c>
      <c r="O182" s="252" t="s">
        <v>1004</v>
      </c>
      <c r="P182" s="319" t="s">
        <v>89</v>
      </c>
      <c r="Q182" s="259"/>
      <c r="R182" s="252" t="s">
        <v>1170</v>
      </c>
      <c r="S182" s="32" t="s">
        <v>1071</v>
      </c>
      <c r="V182" s="260">
        <v>3.4500000000000003E-2</v>
      </c>
      <c r="W182" s="252">
        <v>1</v>
      </c>
      <c r="X182" s="261">
        <v>1</v>
      </c>
      <c r="Y182" s="257">
        <f t="shared" si="12"/>
        <v>3.4500000000000003E-2</v>
      </c>
      <c r="Z182" s="397"/>
      <c r="AA182" s="397"/>
      <c r="AB182" s="324"/>
      <c r="AC182" s="266"/>
    </row>
    <row r="183" spans="1:35" ht="19" customHeight="1">
      <c r="A183" s="252" t="s">
        <v>932</v>
      </c>
      <c r="B183" s="252" t="s">
        <v>1002</v>
      </c>
      <c r="C183" s="252">
        <v>2007</v>
      </c>
      <c r="D183" s="252" t="s">
        <v>1003</v>
      </c>
      <c r="E183" s="267">
        <v>25</v>
      </c>
      <c r="F183" s="252">
        <v>27.48</v>
      </c>
      <c r="G183" s="252">
        <v>4.55</v>
      </c>
      <c r="I183" s="259" t="s">
        <v>924</v>
      </c>
      <c r="L183" s="328" t="s">
        <v>711</v>
      </c>
      <c r="M183" s="252">
        <v>1258.68</v>
      </c>
      <c r="N183" s="252">
        <v>197.83</v>
      </c>
      <c r="O183" s="252" t="s">
        <v>1004</v>
      </c>
      <c r="P183" s="319" t="s">
        <v>89</v>
      </c>
      <c r="Q183" s="259"/>
      <c r="R183" s="252" t="s">
        <v>1170</v>
      </c>
      <c r="S183" s="32" t="s">
        <v>1065</v>
      </c>
      <c r="V183" s="260">
        <v>0.55000000000000004</v>
      </c>
      <c r="W183" s="252">
        <v>1</v>
      </c>
      <c r="X183" s="277">
        <v>0</v>
      </c>
      <c r="Y183" s="278">
        <f t="shared" si="12"/>
        <v>0.55000000000000004</v>
      </c>
      <c r="Z183" s="397"/>
      <c r="AA183" s="397"/>
      <c r="AB183" s="336" t="s">
        <v>2306</v>
      </c>
    </row>
    <row r="184" spans="1:35" ht="19" customHeight="1">
      <c r="A184" s="252" t="s">
        <v>932</v>
      </c>
      <c r="B184" s="252" t="s">
        <v>1002</v>
      </c>
      <c r="C184" s="252">
        <v>2007</v>
      </c>
      <c r="D184" s="252" t="s">
        <v>1005</v>
      </c>
      <c r="E184" s="267">
        <v>25</v>
      </c>
      <c r="F184" s="252">
        <v>26.68</v>
      </c>
      <c r="G184" s="252">
        <v>4.92</v>
      </c>
      <c r="I184" s="259" t="s">
        <v>924</v>
      </c>
      <c r="L184" s="328" t="s">
        <v>711</v>
      </c>
      <c r="M184" s="252">
        <v>758.79</v>
      </c>
      <c r="N184" s="252">
        <v>261.27</v>
      </c>
      <c r="O184" s="252" t="s">
        <v>1006</v>
      </c>
      <c r="P184" s="319" t="s">
        <v>89</v>
      </c>
      <c r="Q184" s="259"/>
      <c r="R184" s="252" t="s">
        <v>1170</v>
      </c>
      <c r="S184" s="32" t="s">
        <v>1065</v>
      </c>
      <c r="V184" s="260">
        <v>0.22</v>
      </c>
      <c r="W184" s="252">
        <v>1</v>
      </c>
      <c r="X184" s="277">
        <v>0</v>
      </c>
      <c r="Y184" s="278">
        <f t="shared" si="12"/>
        <v>0.22</v>
      </c>
      <c r="Z184" s="397"/>
      <c r="AA184" s="397"/>
      <c r="AB184" s="336" t="s">
        <v>2306</v>
      </c>
    </row>
    <row r="185" spans="1:35" ht="19" customHeight="1">
      <c r="A185" s="252" t="s">
        <v>932</v>
      </c>
      <c r="B185" s="252" t="s">
        <v>1002</v>
      </c>
      <c r="C185" s="252">
        <v>2007</v>
      </c>
      <c r="D185" s="252" t="s">
        <v>1003</v>
      </c>
      <c r="E185" s="267">
        <v>25</v>
      </c>
      <c r="F185" s="252">
        <v>27.48</v>
      </c>
      <c r="G185" s="252">
        <v>4.55</v>
      </c>
      <c r="I185" s="259" t="s">
        <v>924</v>
      </c>
      <c r="L185" s="328" t="s">
        <v>711</v>
      </c>
      <c r="M185" s="252">
        <v>1258.68</v>
      </c>
      <c r="N185" s="252">
        <v>197.83</v>
      </c>
      <c r="O185" s="252" t="s">
        <v>1004</v>
      </c>
      <c r="P185" s="319" t="s">
        <v>89</v>
      </c>
      <c r="Q185" s="259"/>
      <c r="R185" s="252" t="s">
        <v>1170</v>
      </c>
      <c r="S185" s="32" t="s">
        <v>1069</v>
      </c>
      <c r="V185" s="260">
        <v>0.38</v>
      </c>
      <c r="W185" s="252">
        <v>1</v>
      </c>
      <c r="X185" s="277">
        <v>0</v>
      </c>
      <c r="Y185" s="278">
        <f t="shared" si="12"/>
        <v>0.38</v>
      </c>
      <c r="Z185" s="397"/>
      <c r="AA185" s="397"/>
      <c r="AB185" s="336" t="s">
        <v>2306</v>
      </c>
    </row>
    <row r="186" spans="1:35" ht="19" customHeight="1">
      <c r="A186" s="252" t="s">
        <v>932</v>
      </c>
      <c r="B186" s="252" t="s">
        <v>1002</v>
      </c>
      <c r="C186" s="252">
        <v>2007</v>
      </c>
      <c r="D186" s="252" t="s">
        <v>1005</v>
      </c>
      <c r="E186" s="267">
        <v>25</v>
      </c>
      <c r="F186" s="252">
        <v>26.68</v>
      </c>
      <c r="G186" s="252">
        <v>4.92</v>
      </c>
      <c r="I186" s="259" t="s">
        <v>924</v>
      </c>
      <c r="L186" s="328" t="s">
        <v>711</v>
      </c>
      <c r="M186" s="252">
        <v>758.79</v>
      </c>
      <c r="N186" s="252">
        <v>261.27</v>
      </c>
      <c r="O186" s="252" t="s">
        <v>1006</v>
      </c>
      <c r="P186" s="319" t="s">
        <v>89</v>
      </c>
      <c r="Q186" s="259"/>
      <c r="R186" s="252" t="s">
        <v>1170</v>
      </c>
      <c r="S186" s="32" t="s">
        <v>1069</v>
      </c>
      <c r="V186" s="260">
        <v>0.26</v>
      </c>
      <c r="W186" s="252">
        <v>1</v>
      </c>
      <c r="X186" s="277">
        <v>0</v>
      </c>
      <c r="Y186" s="278">
        <f t="shared" si="12"/>
        <v>0.26</v>
      </c>
      <c r="Z186" s="397"/>
      <c r="AA186" s="397"/>
      <c r="AB186" s="336" t="s">
        <v>2306</v>
      </c>
    </row>
    <row r="187" spans="1:35" ht="19" customHeight="1">
      <c r="A187" s="252" t="s">
        <v>932</v>
      </c>
      <c r="B187" s="252" t="s">
        <v>1002</v>
      </c>
      <c r="C187" s="252">
        <v>2007</v>
      </c>
      <c r="D187" s="252" t="s">
        <v>1003</v>
      </c>
      <c r="E187" s="267">
        <v>25</v>
      </c>
      <c r="F187" s="252">
        <v>27.48</v>
      </c>
      <c r="G187" s="252">
        <v>4.55</v>
      </c>
      <c r="I187" s="259" t="s">
        <v>924</v>
      </c>
      <c r="L187" s="328" t="s">
        <v>711</v>
      </c>
      <c r="M187" s="252">
        <v>1258.68</v>
      </c>
      <c r="N187" s="252">
        <v>197.83</v>
      </c>
      <c r="O187" s="252" t="s">
        <v>1004</v>
      </c>
      <c r="P187" s="319" t="s">
        <v>89</v>
      </c>
      <c r="Q187" s="259"/>
      <c r="R187" s="252" t="s">
        <v>1170</v>
      </c>
      <c r="S187" s="32" t="s">
        <v>1070</v>
      </c>
      <c r="V187" s="260">
        <v>-0.06</v>
      </c>
      <c r="W187" s="252">
        <v>1</v>
      </c>
      <c r="X187" s="277">
        <v>0</v>
      </c>
      <c r="Y187" s="278">
        <f t="shared" si="12"/>
        <v>-0.06</v>
      </c>
      <c r="Z187" s="397"/>
      <c r="AA187" s="397"/>
      <c r="AB187" s="336" t="s">
        <v>2306</v>
      </c>
    </row>
    <row r="188" spans="1:35" ht="19" customHeight="1">
      <c r="A188" s="252" t="s">
        <v>932</v>
      </c>
      <c r="B188" s="252" t="s">
        <v>1002</v>
      </c>
      <c r="C188" s="252">
        <v>2007</v>
      </c>
      <c r="D188" s="252" t="s">
        <v>1005</v>
      </c>
      <c r="E188" s="267">
        <v>25</v>
      </c>
      <c r="F188" s="252">
        <v>26.68</v>
      </c>
      <c r="G188" s="252">
        <v>4.92</v>
      </c>
      <c r="I188" s="259" t="s">
        <v>924</v>
      </c>
      <c r="L188" s="328" t="s">
        <v>711</v>
      </c>
      <c r="M188" s="252">
        <v>758.79</v>
      </c>
      <c r="N188" s="252">
        <v>261.27</v>
      </c>
      <c r="O188" s="252" t="s">
        <v>1006</v>
      </c>
      <c r="P188" s="319" t="s">
        <v>89</v>
      </c>
      <c r="Q188" s="259"/>
      <c r="R188" s="252" t="s">
        <v>1170</v>
      </c>
      <c r="S188" s="32" t="s">
        <v>1070</v>
      </c>
      <c r="V188" s="260">
        <v>0.23</v>
      </c>
      <c r="W188" s="252">
        <v>1</v>
      </c>
      <c r="X188" s="277">
        <v>0</v>
      </c>
      <c r="Y188" s="278">
        <f t="shared" si="12"/>
        <v>0.23</v>
      </c>
      <c r="Z188" s="397"/>
      <c r="AA188" s="397"/>
    </row>
    <row r="189" spans="1:35" ht="19" customHeight="1">
      <c r="A189" s="252" t="s">
        <v>932</v>
      </c>
      <c r="B189" s="288" t="s">
        <v>2153</v>
      </c>
      <c r="C189" s="272">
        <v>2007</v>
      </c>
      <c r="E189" s="267">
        <v>12</v>
      </c>
      <c r="F189" s="271">
        <v>28.5</v>
      </c>
      <c r="G189" s="273">
        <v>3.3</v>
      </c>
      <c r="H189" s="252" t="s">
        <v>24</v>
      </c>
      <c r="I189" s="252" t="s">
        <v>924</v>
      </c>
      <c r="K189" s="252" t="s">
        <v>2223</v>
      </c>
      <c r="L189" s="328" t="s">
        <v>711</v>
      </c>
      <c r="M189" s="252" t="s">
        <v>2184</v>
      </c>
      <c r="N189" s="252" t="s">
        <v>2184</v>
      </c>
      <c r="O189" s="252" t="s">
        <v>24</v>
      </c>
      <c r="P189" s="319" t="s">
        <v>89</v>
      </c>
      <c r="R189" s="259" t="s">
        <v>2238</v>
      </c>
      <c r="T189" s="252" t="s">
        <v>2239</v>
      </c>
      <c r="U189" s="252" t="s">
        <v>2224</v>
      </c>
      <c r="V189" s="260">
        <v>-0.71</v>
      </c>
      <c r="W189" s="261">
        <v>-1</v>
      </c>
      <c r="X189" s="261">
        <v>1</v>
      </c>
      <c r="Y189" s="262">
        <f t="shared" si="12"/>
        <v>0.71</v>
      </c>
      <c r="AB189" s="324"/>
      <c r="AC189" s="266"/>
    </row>
    <row r="190" spans="1:35" ht="19" customHeight="1">
      <c r="B190" s="288"/>
      <c r="C190" s="272"/>
      <c r="F190" s="271"/>
      <c r="G190" s="273"/>
      <c r="L190" s="328"/>
      <c r="R190" s="259"/>
      <c r="W190" s="261"/>
      <c r="X190" s="261"/>
      <c r="AB190" s="324"/>
      <c r="AC190" s="266"/>
    </row>
    <row r="191" spans="1:35" ht="19" customHeight="1">
      <c r="A191" s="252" t="s">
        <v>1144</v>
      </c>
      <c r="B191" s="259" t="s">
        <v>1325</v>
      </c>
      <c r="C191" s="259">
        <v>1997</v>
      </c>
      <c r="D191" s="259"/>
      <c r="E191" s="382">
        <v>15</v>
      </c>
      <c r="F191" s="252">
        <v>12.13</v>
      </c>
      <c r="G191" s="252">
        <v>1.21</v>
      </c>
      <c r="H191" s="259"/>
      <c r="I191" s="259" t="s">
        <v>924</v>
      </c>
      <c r="J191" s="32"/>
      <c r="K191" s="259"/>
      <c r="L191" s="328" t="s">
        <v>711</v>
      </c>
      <c r="M191" s="252">
        <v>547</v>
      </c>
      <c r="N191" s="252">
        <v>270</v>
      </c>
      <c r="O191" s="259" t="s">
        <v>24</v>
      </c>
      <c r="P191" s="319" t="s">
        <v>89</v>
      </c>
      <c r="Q191" s="259"/>
      <c r="R191" s="259" t="s">
        <v>92</v>
      </c>
      <c r="S191" s="259" t="s">
        <v>1332</v>
      </c>
      <c r="T191" s="259"/>
      <c r="U191" s="259"/>
      <c r="V191" s="264">
        <v>-0.03</v>
      </c>
      <c r="W191" s="252">
        <v>-1</v>
      </c>
      <c r="X191" s="261">
        <v>1</v>
      </c>
      <c r="Y191" s="257">
        <f t="shared" ref="Y191:Y196" si="13">V191*W191</f>
        <v>0.03</v>
      </c>
      <c r="Z191" s="397"/>
      <c r="AA191" s="397"/>
      <c r="AB191" s="324"/>
      <c r="AC191" s="266"/>
      <c r="AD191" s="328"/>
      <c r="AE191" s="259"/>
      <c r="AF191" s="259"/>
      <c r="AG191" s="259"/>
      <c r="AH191" s="259"/>
      <c r="AI191" s="259"/>
    </row>
    <row r="192" spans="1:35" ht="19" customHeight="1">
      <c r="A192" s="252" t="s">
        <v>1144</v>
      </c>
      <c r="B192" s="252" t="s">
        <v>1607</v>
      </c>
      <c r="C192" s="252">
        <v>2014</v>
      </c>
      <c r="E192" s="267">
        <v>19</v>
      </c>
      <c r="F192" s="252">
        <v>14</v>
      </c>
      <c r="G192" s="252">
        <f>(18-10)/4</f>
        <v>2</v>
      </c>
      <c r="H192" s="270" t="s">
        <v>763</v>
      </c>
      <c r="I192" s="259" t="s">
        <v>924</v>
      </c>
      <c r="L192" s="323" t="s">
        <v>2327</v>
      </c>
      <c r="M192" s="252">
        <v>550.5</v>
      </c>
      <c r="N192" s="252">
        <v>260</v>
      </c>
      <c r="O192" s="252" t="s">
        <v>1960</v>
      </c>
      <c r="P192" s="319" t="s">
        <v>89</v>
      </c>
      <c r="Q192" s="259"/>
      <c r="R192" s="252" t="s">
        <v>1170</v>
      </c>
      <c r="S192" s="32" t="s">
        <v>1170</v>
      </c>
      <c r="T192" s="252" t="s">
        <v>1171</v>
      </c>
      <c r="U192" s="252" t="s">
        <v>1063</v>
      </c>
      <c r="V192" s="260">
        <v>-0.44</v>
      </c>
      <c r="W192" s="252">
        <v>-1</v>
      </c>
      <c r="X192" s="261">
        <v>0</v>
      </c>
      <c r="Y192" s="257">
        <f t="shared" si="13"/>
        <v>0.44</v>
      </c>
      <c r="Z192" s="397"/>
      <c r="AA192" s="397"/>
      <c r="AB192" s="324"/>
      <c r="AC192" s="266"/>
      <c r="AD192" s="323" t="s">
        <v>1179</v>
      </c>
    </row>
    <row r="193" spans="1:35" ht="19" customHeight="1">
      <c r="A193" s="252" t="s">
        <v>1144</v>
      </c>
      <c r="B193" s="252" t="s">
        <v>1607</v>
      </c>
      <c r="C193" s="252">
        <v>2014</v>
      </c>
      <c r="E193" s="267">
        <v>19</v>
      </c>
      <c r="F193" s="252">
        <v>14</v>
      </c>
      <c r="G193" s="252">
        <f>(18-10)/4</f>
        <v>2</v>
      </c>
      <c r="H193" s="270" t="s">
        <v>763</v>
      </c>
      <c r="I193" s="259" t="s">
        <v>924</v>
      </c>
      <c r="L193" s="323" t="s">
        <v>2327</v>
      </c>
      <c r="M193" s="252">
        <v>550.5</v>
      </c>
      <c r="N193" s="252">
        <v>260</v>
      </c>
      <c r="O193" s="252" t="s">
        <v>1960</v>
      </c>
      <c r="P193" s="319" t="s">
        <v>89</v>
      </c>
      <c r="Q193" s="259"/>
      <c r="R193" s="252" t="s">
        <v>1170</v>
      </c>
      <c r="S193" s="32" t="s">
        <v>1170</v>
      </c>
      <c r="T193" s="252" t="s">
        <v>1172</v>
      </c>
      <c r="U193" s="252" t="s">
        <v>1063</v>
      </c>
      <c r="V193" s="260">
        <v>-0.34</v>
      </c>
      <c r="W193" s="252">
        <v>-1</v>
      </c>
      <c r="X193" s="261">
        <v>0</v>
      </c>
      <c r="Y193" s="257">
        <f t="shared" si="13"/>
        <v>0.34</v>
      </c>
      <c r="Z193" s="397"/>
      <c r="AA193" s="397"/>
      <c r="AB193" s="324"/>
      <c r="AC193" s="266"/>
      <c r="AD193" s="323" t="s">
        <v>1179</v>
      </c>
    </row>
    <row r="194" spans="1:35" ht="19" customHeight="1">
      <c r="A194" s="252" t="s">
        <v>1144</v>
      </c>
      <c r="B194" s="252" t="s">
        <v>1607</v>
      </c>
      <c r="C194" s="252">
        <v>2014</v>
      </c>
      <c r="D194" s="252" t="s">
        <v>939</v>
      </c>
      <c r="E194" s="267">
        <v>29</v>
      </c>
      <c r="F194" s="252">
        <f>(10+18)/2</f>
        <v>14</v>
      </c>
      <c r="G194" s="252">
        <f>(18-10)/4</f>
        <v>2</v>
      </c>
      <c r="H194" s="282"/>
      <c r="I194" s="259" t="s">
        <v>924</v>
      </c>
      <c r="L194" s="323" t="s">
        <v>940</v>
      </c>
      <c r="M194" s="252">
        <v>562.4</v>
      </c>
      <c r="N194" s="252">
        <v>290</v>
      </c>
      <c r="O194" s="252" t="s">
        <v>24</v>
      </c>
      <c r="P194" s="319" t="s">
        <v>89</v>
      </c>
      <c r="Q194" s="259"/>
      <c r="R194" s="252" t="s">
        <v>1170</v>
      </c>
      <c r="S194" s="32" t="s">
        <v>756</v>
      </c>
      <c r="T194" s="32"/>
      <c r="U194" s="252" t="s">
        <v>1063</v>
      </c>
      <c r="V194" s="260">
        <v>-0.44</v>
      </c>
      <c r="W194" s="259">
        <v>-1</v>
      </c>
      <c r="X194" s="261">
        <v>1</v>
      </c>
      <c r="Y194" s="257">
        <f t="shared" si="13"/>
        <v>0.44</v>
      </c>
      <c r="Z194" s="397"/>
      <c r="AA194" s="397"/>
      <c r="AB194" s="324"/>
      <c r="AC194" s="266"/>
    </row>
    <row r="195" spans="1:35" ht="19" customHeight="1">
      <c r="A195" s="252" t="s">
        <v>1144</v>
      </c>
      <c r="B195" s="252" t="s">
        <v>1607</v>
      </c>
      <c r="C195" s="252">
        <v>2014</v>
      </c>
      <c r="D195" s="252" t="s">
        <v>939</v>
      </c>
      <c r="E195" s="267">
        <v>29</v>
      </c>
      <c r="F195" s="252">
        <f>(10+18)/2</f>
        <v>14</v>
      </c>
      <c r="G195" s="252">
        <f>(18-10)/4</f>
        <v>2</v>
      </c>
      <c r="H195" s="282"/>
      <c r="I195" s="259" t="s">
        <v>924</v>
      </c>
      <c r="L195" s="323" t="s">
        <v>940</v>
      </c>
      <c r="M195" s="252">
        <v>562.4</v>
      </c>
      <c r="N195" s="252">
        <v>290</v>
      </c>
      <c r="O195" s="252" t="s">
        <v>24</v>
      </c>
      <c r="P195" s="319" t="s">
        <v>89</v>
      </c>
      <c r="Q195" s="259"/>
      <c r="R195" s="252" t="s">
        <v>1170</v>
      </c>
      <c r="S195" s="32" t="s">
        <v>1064</v>
      </c>
      <c r="T195" s="32"/>
      <c r="V195" s="260">
        <v>-0.39</v>
      </c>
      <c r="W195" s="252">
        <v>-1</v>
      </c>
      <c r="X195" s="261">
        <v>1</v>
      </c>
      <c r="Y195" s="257">
        <f t="shared" si="13"/>
        <v>0.39</v>
      </c>
      <c r="Z195" s="397"/>
      <c r="AA195" s="397"/>
      <c r="AB195" s="324"/>
      <c r="AC195" s="266"/>
    </row>
    <row r="196" spans="1:35" ht="19" customHeight="1">
      <c r="A196" s="252" t="s">
        <v>1144</v>
      </c>
      <c r="B196" s="252" t="s">
        <v>1607</v>
      </c>
      <c r="C196" s="252">
        <v>2014</v>
      </c>
      <c r="D196" s="252" t="s">
        <v>939</v>
      </c>
      <c r="E196" s="267">
        <v>29</v>
      </c>
      <c r="F196" s="252">
        <f>(10+18)/2</f>
        <v>14</v>
      </c>
      <c r="G196" s="252">
        <f>(18-10)/4</f>
        <v>2</v>
      </c>
      <c r="H196" s="282"/>
      <c r="I196" s="259" t="s">
        <v>924</v>
      </c>
      <c r="L196" s="323" t="s">
        <v>940</v>
      </c>
      <c r="M196" s="252">
        <v>562.4</v>
      </c>
      <c r="N196" s="252">
        <v>290</v>
      </c>
      <c r="O196" s="252" t="s">
        <v>24</v>
      </c>
      <c r="P196" s="319" t="s">
        <v>89</v>
      </c>
      <c r="Q196" s="259"/>
      <c r="R196" s="252" t="s">
        <v>1170</v>
      </c>
      <c r="S196" s="32" t="s">
        <v>758</v>
      </c>
      <c r="T196" s="32"/>
      <c r="V196" s="260">
        <v>-0.34</v>
      </c>
      <c r="W196" s="252">
        <v>-1</v>
      </c>
      <c r="X196" s="261">
        <v>1</v>
      </c>
      <c r="Y196" s="257">
        <f t="shared" si="13"/>
        <v>0.34</v>
      </c>
      <c r="Z196" s="397"/>
      <c r="AA196" s="397"/>
      <c r="AB196" s="324"/>
      <c r="AC196" s="266"/>
    </row>
    <row r="197" spans="1:35" ht="19" customHeight="1">
      <c r="H197" s="282"/>
      <c r="I197" s="259"/>
      <c r="Q197" s="259"/>
      <c r="T197" s="32"/>
      <c r="X197" s="261"/>
      <c r="Y197" s="257"/>
      <c r="Z197" s="397"/>
      <c r="AA197" s="397"/>
      <c r="AB197" s="324"/>
      <c r="AC197" s="266"/>
    </row>
    <row r="198" spans="1:35" ht="19" customHeight="1">
      <c r="A198" s="252" t="s">
        <v>1757</v>
      </c>
      <c r="B198" s="252" t="s">
        <v>933</v>
      </c>
      <c r="C198" s="252">
        <v>2013</v>
      </c>
      <c r="D198" s="287" t="s">
        <v>1798</v>
      </c>
      <c r="E198" s="267">
        <v>12</v>
      </c>
      <c r="F198" s="252">
        <v>23.6</v>
      </c>
      <c r="G198" s="252">
        <v>8.8000000000000007</v>
      </c>
      <c r="H198" s="274" t="s">
        <v>1799</v>
      </c>
      <c r="I198" s="252" t="s">
        <v>67</v>
      </c>
      <c r="K198" s="252" t="s">
        <v>1759</v>
      </c>
      <c r="L198" s="323" t="s">
        <v>1800</v>
      </c>
      <c r="M198" s="252">
        <v>827</v>
      </c>
      <c r="N198" s="252">
        <v>399</v>
      </c>
      <c r="O198" s="252" t="s">
        <v>1801</v>
      </c>
      <c r="P198" s="319" t="s">
        <v>89</v>
      </c>
      <c r="R198" s="252" t="s">
        <v>1170</v>
      </c>
      <c r="S198" s="32" t="s">
        <v>1802</v>
      </c>
      <c r="T198" s="252" t="s">
        <v>1803</v>
      </c>
      <c r="V198" s="252">
        <v>-0.38</v>
      </c>
      <c r="W198" s="252">
        <v>-1</v>
      </c>
      <c r="X198" s="261">
        <v>1</v>
      </c>
      <c r="Y198" s="257">
        <v>0.38</v>
      </c>
      <c r="Z198" s="397"/>
      <c r="AA198" s="397"/>
      <c r="AB198" s="324"/>
      <c r="AC198" s="266"/>
    </row>
    <row r="199" spans="1:35" ht="19" customHeight="1">
      <c r="A199" s="274" t="s">
        <v>1757</v>
      </c>
      <c r="B199" s="252" t="s">
        <v>2029</v>
      </c>
      <c r="C199" s="252">
        <v>1998</v>
      </c>
      <c r="E199" s="267">
        <v>21</v>
      </c>
      <c r="F199" s="252">
        <v>11.3</v>
      </c>
      <c r="G199" s="252">
        <v>6.2</v>
      </c>
      <c r="H199" s="274" t="s">
        <v>1758</v>
      </c>
      <c r="I199" s="252" t="s">
        <v>67</v>
      </c>
      <c r="K199" s="252" t="s">
        <v>1759</v>
      </c>
      <c r="L199" s="323" t="s">
        <v>1760</v>
      </c>
      <c r="M199" s="252">
        <v>785.3</v>
      </c>
      <c r="N199" s="252">
        <v>202.7</v>
      </c>
      <c r="O199" s="252" t="s">
        <v>1299</v>
      </c>
      <c r="P199" s="319" t="s">
        <v>89</v>
      </c>
      <c r="Q199" s="252" t="s">
        <v>1804</v>
      </c>
      <c r="R199" s="252" t="s">
        <v>887</v>
      </c>
      <c r="S199" s="32" t="s">
        <v>1805</v>
      </c>
      <c r="T199" s="32" t="s">
        <v>1806</v>
      </c>
      <c r="V199" s="252">
        <v>-0.73</v>
      </c>
      <c r="W199" s="252">
        <v>-1</v>
      </c>
      <c r="X199" s="261">
        <v>1</v>
      </c>
      <c r="Y199" s="257">
        <v>0.73</v>
      </c>
      <c r="Z199" s="397"/>
      <c r="AA199" s="397"/>
      <c r="AB199" s="324"/>
      <c r="AC199" s="266"/>
    </row>
    <row r="200" spans="1:35" ht="19" customHeight="1">
      <c r="A200" s="274"/>
      <c r="H200" s="274"/>
      <c r="T200" s="32"/>
      <c r="V200" s="252"/>
      <c r="X200" s="261"/>
      <c r="Y200" s="257"/>
      <c r="Z200" s="397"/>
      <c r="AA200" s="397"/>
      <c r="AB200" s="324"/>
      <c r="AC200" s="266"/>
    </row>
    <row r="201" spans="1:35" ht="19" customHeight="1">
      <c r="A201" s="274" t="s">
        <v>1757</v>
      </c>
      <c r="B201" s="252" t="s">
        <v>2029</v>
      </c>
      <c r="C201" s="252">
        <v>1998</v>
      </c>
      <c r="E201" s="267">
        <v>21</v>
      </c>
      <c r="F201" s="252">
        <v>11.3</v>
      </c>
      <c r="G201" s="252">
        <v>6.2</v>
      </c>
      <c r="H201" s="274" t="s">
        <v>1758</v>
      </c>
      <c r="I201" s="252" t="s">
        <v>67</v>
      </c>
      <c r="K201" s="252" t="s">
        <v>1759</v>
      </c>
      <c r="L201" s="323" t="s">
        <v>1760</v>
      </c>
      <c r="M201" s="252">
        <v>785.3</v>
      </c>
      <c r="N201" s="252">
        <v>202.7</v>
      </c>
      <c r="O201" s="252" t="s">
        <v>1807</v>
      </c>
      <c r="P201" s="319" t="s">
        <v>89</v>
      </c>
      <c r="Q201" s="252" t="s">
        <v>1804</v>
      </c>
      <c r="R201" s="252" t="s">
        <v>887</v>
      </c>
      <c r="S201" s="32" t="s">
        <v>1808</v>
      </c>
      <c r="T201" s="32" t="s">
        <v>1809</v>
      </c>
      <c r="V201" s="252">
        <v>-0.75</v>
      </c>
      <c r="W201" s="252">
        <v>-1</v>
      </c>
      <c r="X201" s="261">
        <v>1</v>
      </c>
      <c r="Y201" s="257">
        <v>0.75</v>
      </c>
      <c r="Z201" s="397"/>
      <c r="AA201" s="397"/>
      <c r="AB201" s="324"/>
      <c r="AC201" s="266"/>
    </row>
    <row r="202" spans="1:35" ht="19" customHeight="1">
      <c r="A202" s="276" t="s">
        <v>925</v>
      </c>
      <c r="B202" s="276" t="s">
        <v>1749</v>
      </c>
      <c r="C202" s="272">
        <v>2015</v>
      </c>
      <c r="D202" s="272"/>
      <c r="E202" s="267">
        <v>14</v>
      </c>
      <c r="F202" s="272">
        <v>24.97</v>
      </c>
      <c r="G202" s="272">
        <v>1.57</v>
      </c>
      <c r="H202" s="272" t="s">
        <v>1750</v>
      </c>
      <c r="I202" s="272" t="s">
        <v>1751</v>
      </c>
      <c r="J202" s="272"/>
      <c r="K202" s="272" t="s">
        <v>1755</v>
      </c>
      <c r="L202" s="378" t="s">
        <v>1753</v>
      </c>
      <c r="M202" s="272">
        <v>727</v>
      </c>
      <c r="N202" s="272">
        <v>199</v>
      </c>
      <c r="O202" s="272" t="s">
        <v>1754</v>
      </c>
      <c r="P202" s="319" t="s">
        <v>1469</v>
      </c>
      <c r="Q202" s="259" t="s">
        <v>1430</v>
      </c>
      <c r="R202" s="272" t="s">
        <v>1211</v>
      </c>
      <c r="S202" s="275"/>
      <c r="T202" s="272" t="s">
        <v>1793</v>
      </c>
      <c r="V202" s="272">
        <v>-0.12</v>
      </c>
      <c r="W202" s="252">
        <v>-1</v>
      </c>
      <c r="X202" s="261">
        <v>1</v>
      </c>
      <c r="Y202" s="257">
        <v>0.12</v>
      </c>
      <c r="Z202" s="397"/>
      <c r="AA202" s="397"/>
    </row>
    <row r="203" spans="1:35" ht="96">
      <c r="A203" s="252" t="s">
        <v>925</v>
      </c>
      <c r="B203" s="259" t="s">
        <v>1609</v>
      </c>
      <c r="C203" s="259">
        <v>2017</v>
      </c>
      <c r="D203" s="259"/>
      <c r="E203" s="382">
        <v>37</v>
      </c>
      <c r="F203" s="259">
        <v>27.5</v>
      </c>
      <c r="G203" s="259">
        <v>7.3</v>
      </c>
      <c r="H203" s="259"/>
      <c r="I203" s="259" t="s">
        <v>924</v>
      </c>
      <c r="J203" s="32"/>
      <c r="K203" s="259" t="s">
        <v>938</v>
      </c>
      <c r="L203" s="328" t="s">
        <v>711</v>
      </c>
      <c r="M203" s="259">
        <v>822</v>
      </c>
      <c r="N203" s="259">
        <v>324</v>
      </c>
      <c r="O203" s="259" t="s">
        <v>1475</v>
      </c>
      <c r="P203" s="319" t="s">
        <v>1469</v>
      </c>
      <c r="Q203" s="252" t="s">
        <v>207</v>
      </c>
      <c r="R203" s="259" t="s">
        <v>1602</v>
      </c>
      <c r="S203" s="259"/>
      <c r="T203" s="259" t="s">
        <v>1049</v>
      </c>
      <c r="U203" s="259"/>
      <c r="V203" s="264">
        <v>0.16</v>
      </c>
      <c r="W203" s="259">
        <v>1</v>
      </c>
      <c r="X203" s="261">
        <v>1</v>
      </c>
      <c r="Y203" s="257">
        <f>V203*W203</f>
        <v>0.16</v>
      </c>
      <c r="Z203" s="397"/>
      <c r="AA203" s="397"/>
      <c r="AB203" s="324"/>
      <c r="AC203" s="266"/>
      <c r="AD203" s="328"/>
      <c r="AE203" s="259"/>
      <c r="AF203" s="259"/>
      <c r="AG203" s="259"/>
      <c r="AH203" s="259"/>
      <c r="AI203" s="259"/>
    </row>
    <row r="204" spans="1:35" ht="19" customHeight="1">
      <c r="A204" s="252" t="s">
        <v>925</v>
      </c>
      <c r="B204" s="259" t="s">
        <v>1609</v>
      </c>
      <c r="C204" s="259">
        <v>2017</v>
      </c>
      <c r="D204" s="259"/>
      <c r="E204" s="382">
        <v>37</v>
      </c>
      <c r="F204" s="259">
        <v>27.5</v>
      </c>
      <c r="G204" s="259">
        <v>7.3</v>
      </c>
      <c r="H204" s="259"/>
      <c r="I204" s="259" t="s">
        <v>924</v>
      </c>
      <c r="J204" s="32"/>
      <c r="K204" s="259" t="s">
        <v>938</v>
      </c>
      <c r="L204" s="328" t="s">
        <v>711</v>
      </c>
      <c r="M204" s="259">
        <v>822</v>
      </c>
      <c r="N204" s="259">
        <v>324</v>
      </c>
      <c r="O204" s="259" t="s">
        <v>1475</v>
      </c>
      <c r="P204" s="319" t="s">
        <v>1469</v>
      </c>
      <c r="Q204" s="252" t="s">
        <v>207</v>
      </c>
      <c r="R204" s="259" t="s">
        <v>1602</v>
      </c>
      <c r="S204" s="259"/>
      <c r="T204" s="259" t="s">
        <v>1462</v>
      </c>
      <c r="U204" s="259"/>
      <c r="V204" s="264">
        <v>0.04</v>
      </c>
      <c r="W204" s="259">
        <v>1</v>
      </c>
      <c r="X204" s="261">
        <v>1</v>
      </c>
      <c r="Y204" s="257">
        <f>V204*W204</f>
        <v>0.04</v>
      </c>
      <c r="Z204" s="397"/>
      <c r="AA204" s="397"/>
      <c r="AB204" s="324"/>
      <c r="AC204" s="266"/>
      <c r="AD204" s="328"/>
      <c r="AE204" s="259"/>
      <c r="AF204" s="259"/>
      <c r="AG204" s="259"/>
      <c r="AH204" s="259"/>
      <c r="AI204" s="259"/>
    </row>
    <row r="205" spans="1:35" ht="19" customHeight="1">
      <c r="A205" s="252" t="s">
        <v>925</v>
      </c>
      <c r="B205" s="259" t="s">
        <v>1609</v>
      </c>
      <c r="C205" s="259">
        <v>2017</v>
      </c>
      <c r="D205" s="259"/>
      <c r="E205" s="382">
        <v>37</v>
      </c>
      <c r="F205" s="259">
        <v>27.5</v>
      </c>
      <c r="G205" s="259">
        <v>7.3</v>
      </c>
      <c r="H205" s="259"/>
      <c r="I205" s="259" t="s">
        <v>924</v>
      </c>
      <c r="J205" s="32"/>
      <c r="K205" s="259" t="s">
        <v>938</v>
      </c>
      <c r="L205" s="328" t="s">
        <v>711</v>
      </c>
      <c r="M205" s="259">
        <v>822</v>
      </c>
      <c r="N205" s="259">
        <v>324</v>
      </c>
      <c r="O205" s="259" t="s">
        <v>1475</v>
      </c>
      <c r="P205" s="319" t="s">
        <v>1469</v>
      </c>
      <c r="Q205" s="252" t="s">
        <v>207</v>
      </c>
      <c r="R205" s="259" t="s">
        <v>1602</v>
      </c>
      <c r="T205" s="252" t="s">
        <v>1050</v>
      </c>
      <c r="U205" s="259"/>
      <c r="V205" s="266">
        <v>0.2</v>
      </c>
      <c r="W205" s="259">
        <v>1</v>
      </c>
      <c r="X205" s="261">
        <v>1</v>
      </c>
      <c r="Y205" s="257">
        <f>V205*W205</f>
        <v>0.2</v>
      </c>
      <c r="Z205" s="397"/>
      <c r="AA205" s="397"/>
      <c r="AB205" s="324"/>
      <c r="AC205" s="266"/>
      <c r="AD205" s="328"/>
      <c r="AE205" s="259"/>
      <c r="AF205" s="259"/>
      <c r="AG205" s="259"/>
      <c r="AH205" s="259"/>
      <c r="AI205" s="259"/>
    </row>
    <row r="206" spans="1:35" ht="19" customHeight="1">
      <c r="A206" s="252" t="s">
        <v>932</v>
      </c>
      <c r="B206" s="288" t="s">
        <v>2161</v>
      </c>
      <c r="C206" s="272">
        <v>2024</v>
      </c>
      <c r="E206" s="267">
        <v>25</v>
      </c>
      <c r="F206" s="252">
        <v>22</v>
      </c>
      <c r="G206" s="252" t="s">
        <v>24</v>
      </c>
      <c r="H206" s="252" t="s">
        <v>2234</v>
      </c>
      <c r="I206" s="252" t="s">
        <v>924</v>
      </c>
      <c r="K206" s="252" t="s">
        <v>2235</v>
      </c>
      <c r="L206" s="328" t="s">
        <v>711</v>
      </c>
      <c r="M206" s="252">
        <v>1331.8</v>
      </c>
      <c r="N206" s="252" t="s">
        <v>2184</v>
      </c>
      <c r="O206" s="252" t="s">
        <v>24</v>
      </c>
      <c r="P206" s="319" t="s">
        <v>1469</v>
      </c>
      <c r="Q206" s="252" t="s">
        <v>1430</v>
      </c>
      <c r="R206" s="252" t="s">
        <v>1211</v>
      </c>
      <c r="T206" s="252" t="s">
        <v>2248</v>
      </c>
      <c r="V206" s="252">
        <v>-0.25</v>
      </c>
      <c r="W206" s="252">
        <v>-1</v>
      </c>
      <c r="X206" s="261">
        <v>1</v>
      </c>
      <c r="Y206" s="257">
        <f>V206*W206</f>
        <v>0.25</v>
      </c>
      <c r="Z206" s="397"/>
      <c r="AA206" s="397"/>
      <c r="AB206" s="324"/>
      <c r="AC206" s="266"/>
    </row>
    <row r="207" spans="1:35" ht="19" customHeight="1">
      <c r="B207" s="288"/>
      <c r="C207" s="272"/>
      <c r="L207" s="328"/>
      <c r="V207" s="252"/>
      <c r="X207" s="261"/>
      <c r="Y207" s="257"/>
      <c r="Z207" s="397"/>
      <c r="AA207" s="397"/>
      <c r="AB207" s="324"/>
      <c r="AC207" s="266"/>
    </row>
    <row r="208" spans="1:35" ht="19" customHeight="1">
      <c r="A208" s="252" t="s">
        <v>1144</v>
      </c>
      <c r="B208" s="274" t="s">
        <v>1765</v>
      </c>
      <c r="C208" s="252">
        <v>2014</v>
      </c>
      <c r="D208" s="252" t="s">
        <v>250</v>
      </c>
      <c r="E208" s="267">
        <v>17</v>
      </c>
      <c r="F208" s="252">
        <v>14.9</v>
      </c>
      <c r="G208" s="252">
        <v>3.28</v>
      </c>
      <c r="H208" s="274" t="s">
        <v>1775</v>
      </c>
      <c r="I208" s="252" t="s">
        <v>1767</v>
      </c>
      <c r="K208" s="252" t="s">
        <v>1591</v>
      </c>
      <c r="L208" s="328" t="s">
        <v>711</v>
      </c>
      <c r="M208" s="252">
        <v>697</v>
      </c>
      <c r="N208" s="252">
        <v>279</v>
      </c>
      <c r="O208" s="252" t="s">
        <v>1769</v>
      </c>
      <c r="P208" s="319" t="s">
        <v>1469</v>
      </c>
      <c r="Q208" s="259" t="s">
        <v>1430</v>
      </c>
      <c r="R208" s="252" t="s">
        <v>1211</v>
      </c>
      <c r="T208" s="252" t="s">
        <v>1812</v>
      </c>
      <c r="V208" s="252">
        <v>-0.08</v>
      </c>
      <c r="W208" s="252">
        <v>-1</v>
      </c>
      <c r="X208" s="261">
        <v>1</v>
      </c>
      <c r="Y208" s="257">
        <v>0.08</v>
      </c>
      <c r="Z208" s="397"/>
      <c r="AA208" s="397"/>
    </row>
    <row r="209" spans="1:35" ht="19" customHeight="1">
      <c r="B209" s="274"/>
      <c r="H209" s="274"/>
      <c r="L209" s="328"/>
      <c r="Q209" s="259"/>
      <c r="V209" s="252"/>
      <c r="X209" s="261"/>
      <c r="Y209" s="257"/>
      <c r="Z209" s="397"/>
      <c r="AA209" s="397"/>
    </row>
    <row r="210" spans="1:35" ht="19" customHeight="1">
      <c r="A210" s="252" t="s">
        <v>925</v>
      </c>
      <c r="B210" s="259" t="s">
        <v>1609</v>
      </c>
      <c r="C210" s="259">
        <v>2017</v>
      </c>
      <c r="D210" s="259"/>
      <c r="E210" s="382">
        <v>37</v>
      </c>
      <c r="F210" s="259">
        <v>27.5</v>
      </c>
      <c r="G210" s="259">
        <v>7.3</v>
      </c>
      <c r="H210" s="259"/>
      <c r="I210" s="259" t="s">
        <v>924</v>
      </c>
      <c r="J210" s="32"/>
      <c r="K210" s="259" t="s">
        <v>938</v>
      </c>
      <c r="L210" s="328" t="s">
        <v>711</v>
      </c>
      <c r="M210" s="259">
        <v>822</v>
      </c>
      <c r="N210" s="259">
        <v>324</v>
      </c>
      <c r="O210" s="259" t="s">
        <v>1475</v>
      </c>
      <c r="P210" s="319" t="s">
        <v>1468</v>
      </c>
      <c r="Q210" s="252" t="s">
        <v>206</v>
      </c>
      <c r="R210" s="259" t="s">
        <v>1602</v>
      </c>
      <c r="S210" s="259"/>
      <c r="T210" s="259" t="s">
        <v>1462</v>
      </c>
      <c r="U210" s="259"/>
      <c r="V210" s="264">
        <v>0.12</v>
      </c>
      <c r="W210" s="259">
        <v>1</v>
      </c>
      <c r="X210" s="261">
        <v>1</v>
      </c>
      <c r="Y210" s="257">
        <f t="shared" ref="Y210:Y216" si="14">V210*W210</f>
        <v>0.12</v>
      </c>
      <c r="Z210" s="397"/>
      <c r="AA210" s="397"/>
      <c r="AB210" s="324"/>
      <c r="AC210" s="266"/>
      <c r="AD210" s="328"/>
      <c r="AE210" s="259"/>
      <c r="AF210" s="259"/>
      <c r="AG210" s="259"/>
      <c r="AH210" s="259"/>
      <c r="AI210" s="259"/>
    </row>
    <row r="211" spans="1:35" ht="19" customHeight="1">
      <c r="A211" s="252" t="s">
        <v>925</v>
      </c>
      <c r="B211" s="259" t="s">
        <v>1609</v>
      </c>
      <c r="C211" s="259">
        <v>2017</v>
      </c>
      <c r="D211" s="259"/>
      <c r="E211" s="382">
        <v>37</v>
      </c>
      <c r="F211" s="259">
        <v>27.5</v>
      </c>
      <c r="G211" s="259">
        <v>7.3</v>
      </c>
      <c r="H211" s="259"/>
      <c r="I211" s="259" t="s">
        <v>924</v>
      </c>
      <c r="J211" s="32"/>
      <c r="K211" s="259" t="s">
        <v>938</v>
      </c>
      <c r="L211" s="328" t="s">
        <v>711</v>
      </c>
      <c r="M211" s="259">
        <v>822</v>
      </c>
      <c r="N211" s="259">
        <v>324</v>
      </c>
      <c r="O211" s="259" t="s">
        <v>1475</v>
      </c>
      <c r="P211" s="319" t="s">
        <v>1468</v>
      </c>
      <c r="Q211" s="252" t="s">
        <v>206</v>
      </c>
      <c r="R211" s="259" t="s">
        <v>1602</v>
      </c>
      <c r="T211" s="252" t="s">
        <v>1050</v>
      </c>
      <c r="U211" s="259"/>
      <c r="V211" s="266">
        <v>-0.04</v>
      </c>
      <c r="W211" s="259">
        <v>1</v>
      </c>
      <c r="X211" s="261">
        <v>1</v>
      </c>
      <c r="Y211" s="257">
        <f t="shared" si="14"/>
        <v>-0.04</v>
      </c>
      <c r="Z211" s="397"/>
      <c r="AA211" s="397"/>
      <c r="AB211" s="324"/>
      <c r="AC211" s="266"/>
      <c r="AD211" s="328"/>
      <c r="AE211" s="259"/>
      <c r="AF211" s="259"/>
      <c r="AG211" s="259"/>
      <c r="AH211" s="259"/>
      <c r="AI211" s="259"/>
    </row>
    <row r="212" spans="1:35" ht="19" customHeight="1">
      <c r="A212" s="252" t="s">
        <v>925</v>
      </c>
      <c r="B212" s="259" t="s">
        <v>1609</v>
      </c>
      <c r="C212" s="259">
        <v>2020</v>
      </c>
      <c r="D212" s="259"/>
      <c r="E212" s="382">
        <v>19</v>
      </c>
      <c r="F212" s="259">
        <v>23.5</v>
      </c>
      <c r="G212" s="259">
        <v>6.1</v>
      </c>
      <c r="H212" s="259"/>
      <c r="I212" s="259" t="s">
        <v>924</v>
      </c>
      <c r="J212" s="32"/>
      <c r="K212" s="259" t="s">
        <v>938</v>
      </c>
      <c r="L212" s="328" t="s">
        <v>711</v>
      </c>
      <c r="M212" s="164">
        <v>1042</v>
      </c>
      <c r="N212" s="164">
        <v>428</v>
      </c>
      <c r="O212" s="110" t="s">
        <v>1877</v>
      </c>
      <c r="P212" s="319" t="s">
        <v>1468</v>
      </c>
      <c r="Q212" s="252" t="s">
        <v>206</v>
      </c>
      <c r="R212" s="259" t="s">
        <v>1602</v>
      </c>
      <c r="S212" s="259"/>
      <c r="T212" s="259" t="s">
        <v>1049</v>
      </c>
      <c r="U212" s="259"/>
      <c r="V212" s="264">
        <v>0.01</v>
      </c>
      <c r="W212" s="252">
        <v>1</v>
      </c>
      <c r="X212" s="261">
        <v>1</v>
      </c>
      <c r="Y212" s="257">
        <f t="shared" si="14"/>
        <v>0.01</v>
      </c>
      <c r="Z212" s="397"/>
      <c r="AA212" s="397"/>
      <c r="AB212" s="324"/>
      <c r="AC212" s="266"/>
      <c r="AD212" s="328"/>
      <c r="AE212" s="259"/>
      <c r="AF212" s="259"/>
      <c r="AG212" s="259"/>
      <c r="AH212" s="259"/>
      <c r="AI212" s="259"/>
    </row>
    <row r="213" spans="1:35" ht="19" customHeight="1">
      <c r="A213" s="252" t="s">
        <v>925</v>
      </c>
      <c r="B213" s="259" t="s">
        <v>1609</v>
      </c>
      <c r="C213" s="259">
        <v>2020</v>
      </c>
      <c r="D213" s="259"/>
      <c r="E213" s="382">
        <v>19</v>
      </c>
      <c r="F213" s="259">
        <v>23.5</v>
      </c>
      <c r="G213" s="259">
        <v>6.1</v>
      </c>
      <c r="H213" s="259"/>
      <c r="I213" s="259" t="s">
        <v>924</v>
      </c>
      <c r="J213" s="32"/>
      <c r="K213" s="259" t="s">
        <v>938</v>
      </c>
      <c r="L213" s="328" t="s">
        <v>711</v>
      </c>
      <c r="M213" s="164">
        <v>1042</v>
      </c>
      <c r="N213" s="164">
        <v>428</v>
      </c>
      <c r="O213" s="110" t="s">
        <v>2285</v>
      </c>
      <c r="P213" s="319" t="s">
        <v>1468</v>
      </c>
      <c r="Q213" s="252" t="s">
        <v>206</v>
      </c>
      <c r="R213" s="259" t="s">
        <v>1602</v>
      </c>
      <c r="S213" s="259"/>
      <c r="T213" s="259" t="s">
        <v>1462</v>
      </c>
      <c r="U213" s="259"/>
      <c r="V213" s="264">
        <v>0.03</v>
      </c>
      <c r="W213" s="252">
        <v>1</v>
      </c>
      <c r="X213" s="261">
        <v>1</v>
      </c>
      <c r="Y213" s="257">
        <f t="shared" si="14"/>
        <v>0.03</v>
      </c>
      <c r="Z213" s="397"/>
      <c r="AA213" s="397"/>
      <c r="AB213" s="324"/>
      <c r="AC213" s="266"/>
      <c r="AD213" s="328"/>
      <c r="AE213" s="259"/>
      <c r="AF213" s="259"/>
      <c r="AG213" s="259"/>
      <c r="AH213" s="259"/>
      <c r="AI213" s="259"/>
    </row>
    <row r="214" spans="1:35" ht="19" customHeight="1">
      <c r="A214" s="252" t="s">
        <v>925</v>
      </c>
      <c r="B214" s="259" t="s">
        <v>1609</v>
      </c>
      <c r="C214" s="259">
        <v>2020</v>
      </c>
      <c r="D214" s="259"/>
      <c r="E214" s="382">
        <v>19</v>
      </c>
      <c r="F214" s="259">
        <v>23.5</v>
      </c>
      <c r="G214" s="259">
        <v>6.1</v>
      </c>
      <c r="H214" s="259"/>
      <c r="I214" s="259" t="s">
        <v>924</v>
      </c>
      <c r="J214" s="32"/>
      <c r="K214" s="259" t="s">
        <v>938</v>
      </c>
      <c r="L214" s="328" t="s">
        <v>711</v>
      </c>
      <c r="M214" s="164">
        <v>1042</v>
      </c>
      <c r="N214" s="164">
        <v>428</v>
      </c>
      <c r="O214" s="110" t="s">
        <v>2286</v>
      </c>
      <c r="P214" s="319" t="s">
        <v>1468</v>
      </c>
      <c r="Q214" s="252" t="s">
        <v>206</v>
      </c>
      <c r="R214" s="259" t="s">
        <v>1602</v>
      </c>
      <c r="T214" s="252" t="s">
        <v>1050</v>
      </c>
      <c r="U214" s="259"/>
      <c r="V214" s="264">
        <v>0.05</v>
      </c>
      <c r="W214" s="252">
        <v>1</v>
      </c>
      <c r="X214" s="261">
        <v>1</v>
      </c>
      <c r="Y214" s="257">
        <f t="shared" si="14"/>
        <v>0.05</v>
      </c>
      <c r="Z214" s="397"/>
      <c r="AA214" s="397"/>
      <c r="AC214" s="266"/>
      <c r="AD214" s="328"/>
      <c r="AE214" s="259"/>
      <c r="AF214" s="259"/>
      <c r="AG214" s="259"/>
      <c r="AH214" s="259"/>
      <c r="AI214" s="259"/>
    </row>
    <row r="215" spans="1:35" ht="19" customHeight="1">
      <c r="A215" s="252" t="s">
        <v>932</v>
      </c>
      <c r="B215" s="259" t="s">
        <v>1609</v>
      </c>
      <c r="C215" s="259">
        <v>2017</v>
      </c>
      <c r="D215" s="259"/>
      <c r="E215" s="382">
        <v>37</v>
      </c>
      <c r="F215" s="259">
        <v>27.5</v>
      </c>
      <c r="G215" s="259">
        <v>7.3</v>
      </c>
      <c r="H215" s="259"/>
      <c r="I215" s="259" t="s">
        <v>924</v>
      </c>
      <c r="J215" s="32"/>
      <c r="K215" s="259" t="s">
        <v>938</v>
      </c>
      <c r="L215" s="328" t="s">
        <v>711</v>
      </c>
      <c r="M215" s="259">
        <v>822</v>
      </c>
      <c r="N215" s="259">
        <v>324</v>
      </c>
      <c r="O215" s="259" t="s">
        <v>1475</v>
      </c>
      <c r="P215" s="319" t="s">
        <v>1468</v>
      </c>
      <c r="Q215" s="252" t="s">
        <v>206</v>
      </c>
      <c r="R215" s="259" t="s">
        <v>1602</v>
      </c>
      <c r="T215" s="259" t="s">
        <v>1049</v>
      </c>
      <c r="U215" s="259"/>
      <c r="V215" s="264">
        <v>0.19</v>
      </c>
      <c r="W215" s="259">
        <v>1</v>
      </c>
      <c r="X215" s="261">
        <v>1</v>
      </c>
      <c r="Y215" s="257">
        <f t="shared" si="14"/>
        <v>0.19</v>
      </c>
      <c r="Z215" s="397"/>
      <c r="AA215" s="397"/>
      <c r="AB215" s="324"/>
      <c r="AC215" s="266"/>
      <c r="AD215" s="328"/>
      <c r="AE215" s="259"/>
      <c r="AF215" s="259"/>
      <c r="AG215" s="259"/>
      <c r="AH215" s="259"/>
      <c r="AI215" s="259"/>
    </row>
    <row r="216" spans="1:35" ht="19" customHeight="1">
      <c r="A216" s="252" t="s">
        <v>932</v>
      </c>
      <c r="B216" s="288" t="s">
        <v>2161</v>
      </c>
      <c r="C216" s="272">
        <v>2024</v>
      </c>
      <c r="E216" s="267">
        <v>25</v>
      </c>
      <c r="F216" s="252">
        <v>22</v>
      </c>
      <c r="G216" s="252" t="s">
        <v>24</v>
      </c>
      <c r="H216" s="252" t="s">
        <v>2234</v>
      </c>
      <c r="I216" s="252" t="s">
        <v>924</v>
      </c>
      <c r="K216" s="252" t="s">
        <v>2235</v>
      </c>
      <c r="L216" s="328" t="s">
        <v>711</v>
      </c>
      <c r="M216" s="252">
        <v>1331.8</v>
      </c>
      <c r="N216" s="252" t="s">
        <v>2184</v>
      </c>
      <c r="O216" s="252" t="s">
        <v>24</v>
      </c>
      <c r="P216" s="319" t="s">
        <v>1468</v>
      </c>
      <c r="Q216" s="252" t="s">
        <v>206</v>
      </c>
      <c r="R216" s="252" t="s">
        <v>2250</v>
      </c>
      <c r="S216" s="252" t="s">
        <v>2252</v>
      </c>
      <c r="T216" s="252" t="s">
        <v>903</v>
      </c>
      <c r="U216" s="32" t="s">
        <v>2253</v>
      </c>
      <c r="V216" s="252">
        <v>0.34</v>
      </c>
      <c r="W216" s="252">
        <v>1</v>
      </c>
      <c r="X216" s="261">
        <v>1</v>
      </c>
      <c r="Y216" s="257">
        <f t="shared" si="14"/>
        <v>0.34</v>
      </c>
      <c r="Z216" s="397"/>
      <c r="AA216" s="397"/>
      <c r="AB216" s="324"/>
      <c r="AC216" s="266"/>
    </row>
    <row r="217" spans="1:35" ht="19" customHeight="1">
      <c r="B217" s="288"/>
      <c r="C217" s="272"/>
      <c r="L217" s="328"/>
      <c r="S217" s="252"/>
      <c r="U217" s="32"/>
      <c r="V217" s="252"/>
      <c r="X217" s="261"/>
      <c r="Y217" s="257"/>
      <c r="Z217" s="397"/>
      <c r="AA217" s="397"/>
      <c r="AB217" s="324"/>
      <c r="AC217" s="266"/>
    </row>
    <row r="218" spans="1:35" ht="14.25" customHeight="1">
      <c r="A218" s="276" t="s">
        <v>1757</v>
      </c>
      <c r="B218" s="252" t="s">
        <v>2029</v>
      </c>
      <c r="C218" s="252">
        <v>1998</v>
      </c>
      <c r="E218" s="267">
        <v>21</v>
      </c>
      <c r="F218" s="252">
        <v>11.3</v>
      </c>
      <c r="G218" s="252">
        <v>6.2</v>
      </c>
      <c r="H218" s="274" t="s">
        <v>1758</v>
      </c>
      <c r="I218" s="252" t="s">
        <v>67</v>
      </c>
      <c r="K218" s="252" t="s">
        <v>1759</v>
      </c>
      <c r="L218" s="323" t="s">
        <v>1760</v>
      </c>
      <c r="M218" s="252">
        <v>785.3</v>
      </c>
      <c r="N218" s="252">
        <v>202.7</v>
      </c>
      <c r="O218" s="252" t="s">
        <v>1810</v>
      </c>
      <c r="P218" s="319" t="s">
        <v>1468</v>
      </c>
      <c r="Q218" s="252" t="s">
        <v>206</v>
      </c>
      <c r="R218" s="252" t="s">
        <v>2030</v>
      </c>
      <c r="S218" s="32" t="s">
        <v>1320</v>
      </c>
      <c r="U218" s="32" t="s">
        <v>1811</v>
      </c>
      <c r="V218" s="252">
        <v>0.56999999999999995</v>
      </c>
      <c r="W218" s="252">
        <v>1</v>
      </c>
      <c r="X218" s="261">
        <v>1</v>
      </c>
      <c r="Y218" s="257">
        <v>0.56999999999999995</v>
      </c>
      <c r="Z218" s="397"/>
      <c r="AA218" s="397"/>
      <c r="AB218" s="324"/>
      <c r="AC218" s="266"/>
    </row>
    <row r="219" spans="1:35" ht="14.25" customHeight="1">
      <c r="A219" s="276"/>
      <c r="H219" s="274"/>
      <c r="U219" s="32"/>
      <c r="V219" s="252"/>
      <c r="X219" s="261"/>
      <c r="Y219" s="257"/>
      <c r="Z219" s="397"/>
      <c r="AA219" s="397"/>
      <c r="AB219" s="324"/>
      <c r="AC219" s="266"/>
    </row>
    <row r="220" spans="1:35" ht="14.25" customHeight="1">
      <c r="A220" s="276"/>
      <c r="H220" s="274"/>
      <c r="U220" s="32"/>
      <c r="V220" s="252"/>
      <c r="X220" s="261"/>
      <c r="Y220" s="257"/>
      <c r="Z220" s="397"/>
      <c r="AA220" s="397"/>
      <c r="AB220" s="324"/>
      <c r="AC220" s="266"/>
    </row>
    <row r="221" spans="1:35" ht="19" customHeight="1">
      <c r="A221" s="252" t="s">
        <v>925</v>
      </c>
      <c r="B221" s="259" t="s">
        <v>1609</v>
      </c>
      <c r="C221" s="259">
        <v>2017</v>
      </c>
      <c r="D221" s="259"/>
      <c r="E221" s="382">
        <v>37</v>
      </c>
      <c r="F221" s="259">
        <v>27.5</v>
      </c>
      <c r="G221" s="259">
        <v>7.3</v>
      </c>
      <c r="H221" s="259"/>
      <c r="I221" s="259" t="s">
        <v>924</v>
      </c>
      <c r="J221" s="32"/>
      <c r="K221" s="259" t="s">
        <v>938</v>
      </c>
      <c r="L221" s="328" t="s">
        <v>711</v>
      </c>
      <c r="M221" s="259">
        <v>822</v>
      </c>
      <c r="N221" s="259">
        <v>324</v>
      </c>
      <c r="O221" s="259" t="s">
        <v>1475</v>
      </c>
      <c r="P221" s="245" t="s">
        <v>1791</v>
      </c>
      <c r="Q221" s="252" t="s">
        <v>207</v>
      </c>
      <c r="R221" s="259" t="s">
        <v>1130</v>
      </c>
      <c r="S221" s="259" t="s">
        <v>2305</v>
      </c>
      <c r="T221" s="259"/>
      <c r="U221" s="259"/>
      <c r="V221" s="264">
        <v>0.18</v>
      </c>
      <c r="W221" s="259">
        <v>1</v>
      </c>
      <c r="X221" s="261">
        <v>1</v>
      </c>
      <c r="Y221" s="257">
        <f>V221*W221</f>
        <v>0.18</v>
      </c>
      <c r="Z221" s="397"/>
      <c r="AA221" s="397"/>
      <c r="AB221" s="324"/>
      <c r="AC221" s="266"/>
      <c r="AD221" s="328"/>
      <c r="AE221" s="259"/>
      <c r="AF221" s="259"/>
      <c r="AG221" s="259"/>
      <c r="AH221" s="259"/>
      <c r="AI221" s="259"/>
    </row>
    <row r="222" spans="1:35" ht="19" customHeight="1">
      <c r="A222" s="252" t="s">
        <v>925</v>
      </c>
      <c r="B222" s="259" t="s">
        <v>1609</v>
      </c>
      <c r="C222" s="259">
        <v>2017</v>
      </c>
      <c r="D222" s="259"/>
      <c r="E222" s="382">
        <v>37</v>
      </c>
      <c r="F222" s="259">
        <v>27.5</v>
      </c>
      <c r="G222" s="259">
        <v>7.3</v>
      </c>
      <c r="H222" s="259"/>
      <c r="I222" s="259" t="s">
        <v>924</v>
      </c>
      <c r="J222" s="32"/>
      <c r="K222" s="259" t="s">
        <v>938</v>
      </c>
      <c r="L222" s="328" t="s">
        <v>711</v>
      </c>
      <c r="M222" s="259">
        <v>822</v>
      </c>
      <c r="N222" s="259">
        <v>324</v>
      </c>
      <c r="O222" s="259" t="s">
        <v>1476</v>
      </c>
      <c r="P222" s="245" t="s">
        <v>1791</v>
      </c>
      <c r="Q222" s="252" t="s">
        <v>207</v>
      </c>
      <c r="R222" s="259" t="s">
        <v>2274</v>
      </c>
      <c r="S222" s="259"/>
      <c r="T222" s="259"/>
      <c r="U222" s="259"/>
      <c r="V222" s="264">
        <v>0.47</v>
      </c>
      <c r="W222" s="259">
        <v>1</v>
      </c>
      <c r="X222" s="261">
        <v>1</v>
      </c>
      <c r="Y222" s="257">
        <f>V222*W222</f>
        <v>0.47</v>
      </c>
      <c r="Z222" s="397"/>
      <c r="AA222" s="397"/>
      <c r="AB222" s="324"/>
      <c r="AC222" s="266"/>
      <c r="AD222" s="328"/>
      <c r="AE222" s="259"/>
      <c r="AF222" s="259"/>
      <c r="AG222" s="259"/>
      <c r="AH222" s="259"/>
      <c r="AI222" s="259"/>
    </row>
    <row r="223" spans="1:35" ht="19" customHeight="1">
      <c r="A223" s="276" t="s">
        <v>925</v>
      </c>
      <c r="B223" s="276" t="s">
        <v>1749</v>
      </c>
      <c r="C223" s="272">
        <v>2015</v>
      </c>
      <c r="D223" s="272"/>
      <c r="E223" s="267">
        <v>14</v>
      </c>
      <c r="F223" s="272">
        <v>24.97</v>
      </c>
      <c r="G223" s="272">
        <v>1.57</v>
      </c>
      <c r="H223" s="272" t="s">
        <v>1750</v>
      </c>
      <c r="I223" s="272" t="s">
        <v>1751</v>
      </c>
      <c r="J223" s="272"/>
      <c r="K223" s="272" t="s">
        <v>1755</v>
      </c>
      <c r="L223" s="378" t="s">
        <v>1753</v>
      </c>
      <c r="M223" s="272">
        <v>727</v>
      </c>
      <c r="N223" s="272">
        <v>199</v>
      </c>
      <c r="O223" s="272" t="s">
        <v>1754</v>
      </c>
      <c r="P223" s="245" t="s">
        <v>1791</v>
      </c>
      <c r="Q223" s="252" t="s">
        <v>207</v>
      </c>
      <c r="R223" s="259" t="s">
        <v>1430</v>
      </c>
      <c r="S223" s="275" t="s">
        <v>1212</v>
      </c>
      <c r="T223" s="272"/>
      <c r="U223" s="272" t="s">
        <v>1793</v>
      </c>
      <c r="V223" s="272">
        <v>-0.10299999999999999</v>
      </c>
      <c r="W223" s="252">
        <v>-1</v>
      </c>
      <c r="X223" s="261">
        <v>1</v>
      </c>
      <c r="Y223" s="257">
        <v>0.10299999999999999</v>
      </c>
      <c r="Z223" s="397"/>
      <c r="AA223" s="397"/>
      <c r="AB223" s="324"/>
    </row>
    <row r="224" spans="1:35" ht="19" customHeight="1">
      <c r="A224" s="252" t="s">
        <v>932</v>
      </c>
      <c r="B224" s="288" t="s">
        <v>2153</v>
      </c>
      <c r="C224" s="272">
        <v>2007</v>
      </c>
      <c r="E224" s="267">
        <v>12</v>
      </c>
      <c r="F224" s="271">
        <v>28.5</v>
      </c>
      <c r="G224" s="273">
        <v>3.3</v>
      </c>
      <c r="H224" s="252" t="s">
        <v>24</v>
      </c>
      <c r="I224" s="252" t="s">
        <v>924</v>
      </c>
      <c r="K224" s="252" t="s">
        <v>2223</v>
      </c>
      <c r="L224" s="328" t="s">
        <v>711</v>
      </c>
      <c r="M224" s="252" t="s">
        <v>2184</v>
      </c>
      <c r="N224" s="252" t="s">
        <v>2184</v>
      </c>
      <c r="O224" s="252" t="s">
        <v>24</v>
      </c>
      <c r="P224" s="245" t="s">
        <v>1791</v>
      </c>
      <c r="Q224" s="252" t="s">
        <v>207</v>
      </c>
      <c r="R224" s="259" t="s">
        <v>2238</v>
      </c>
      <c r="T224" s="259" t="s">
        <v>2242</v>
      </c>
      <c r="U224" s="252" t="s">
        <v>2224</v>
      </c>
      <c r="V224" s="260">
        <v>-0.65</v>
      </c>
      <c r="W224" s="261">
        <v>-1</v>
      </c>
      <c r="X224" s="261">
        <v>1</v>
      </c>
      <c r="Y224" s="262">
        <f>V224*W224</f>
        <v>0.65</v>
      </c>
      <c r="AH224" s="245"/>
      <c r="AI224" s="245"/>
    </row>
    <row r="225" spans="1:35" ht="19" customHeight="1">
      <c r="B225" s="288"/>
      <c r="C225" s="272"/>
      <c r="F225" s="271"/>
      <c r="G225" s="273"/>
      <c r="L225" s="328"/>
      <c r="P225" s="245"/>
      <c r="R225" s="259"/>
      <c r="T225" s="259"/>
      <c r="W225" s="261"/>
      <c r="X225" s="261"/>
      <c r="AH225" s="245"/>
      <c r="AI225" s="245"/>
    </row>
    <row r="226" spans="1:35" ht="19" customHeight="1">
      <c r="A226" s="252" t="s">
        <v>1144</v>
      </c>
      <c r="B226" s="274" t="s">
        <v>1765</v>
      </c>
      <c r="C226" s="252">
        <v>2014</v>
      </c>
      <c r="E226" s="267">
        <v>17</v>
      </c>
      <c r="F226" s="252">
        <v>14.9</v>
      </c>
      <c r="G226" s="252">
        <v>3.28</v>
      </c>
      <c r="H226" s="274" t="s">
        <v>1775</v>
      </c>
      <c r="I226" s="252" t="s">
        <v>1767</v>
      </c>
      <c r="K226" s="252" t="s">
        <v>1591</v>
      </c>
      <c r="L226" s="328" t="s">
        <v>711</v>
      </c>
      <c r="M226" s="252">
        <v>697</v>
      </c>
      <c r="N226" s="252">
        <v>279</v>
      </c>
      <c r="O226" s="252" t="s">
        <v>1769</v>
      </c>
      <c r="P226" s="245" t="s">
        <v>1791</v>
      </c>
      <c r="Q226" s="252" t="s">
        <v>207</v>
      </c>
      <c r="R226" s="252" t="s">
        <v>1788</v>
      </c>
      <c r="S226" s="32" t="s">
        <v>1794</v>
      </c>
      <c r="U226" s="252" t="s">
        <v>1790</v>
      </c>
      <c r="V226" s="252">
        <v>5.8000000000000003E-2</v>
      </c>
      <c r="W226" s="259">
        <v>-1</v>
      </c>
      <c r="X226" s="261">
        <v>1</v>
      </c>
      <c r="Y226" s="257">
        <v>-5.8000000000000003E-2</v>
      </c>
      <c r="Z226" s="397"/>
      <c r="AA226" s="397"/>
      <c r="AB226" s="324"/>
      <c r="AC226" s="266"/>
    </row>
    <row r="227" spans="1:35" ht="19" customHeight="1">
      <c r="A227" s="252" t="s">
        <v>1144</v>
      </c>
      <c r="B227" s="274" t="s">
        <v>1765</v>
      </c>
      <c r="C227" s="252">
        <v>2014</v>
      </c>
      <c r="E227" s="267">
        <v>17</v>
      </c>
      <c r="F227" s="252">
        <v>14.9</v>
      </c>
      <c r="G227" s="252">
        <v>3.28</v>
      </c>
      <c r="H227" s="274" t="s">
        <v>1775</v>
      </c>
      <c r="I227" s="252" t="s">
        <v>1767</v>
      </c>
      <c r="K227" s="252" t="s">
        <v>1591</v>
      </c>
      <c r="L227" s="328" t="s">
        <v>711</v>
      </c>
      <c r="M227" s="252">
        <v>697</v>
      </c>
      <c r="N227" s="252">
        <v>279</v>
      </c>
      <c r="O227" s="252" t="s">
        <v>1769</v>
      </c>
      <c r="P227" s="245" t="s">
        <v>1791</v>
      </c>
      <c r="Q227" s="252" t="s">
        <v>207</v>
      </c>
      <c r="R227" s="252" t="s">
        <v>1788</v>
      </c>
      <c r="S227" s="32" t="s">
        <v>1795</v>
      </c>
      <c r="U227" s="252" t="s">
        <v>1790</v>
      </c>
      <c r="V227" s="252">
        <v>-3.0000000000000001E-3</v>
      </c>
      <c r="W227" s="259">
        <v>-1</v>
      </c>
      <c r="X227" s="261">
        <v>1</v>
      </c>
      <c r="Y227" s="257">
        <v>3.0000000000000001E-3</v>
      </c>
      <c r="Z227" s="397"/>
      <c r="AA227" s="397"/>
      <c r="AB227" s="324"/>
      <c r="AC227" s="266"/>
    </row>
    <row r="228" spans="1:35" ht="19" customHeight="1">
      <c r="A228" s="252" t="s">
        <v>1144</v>
      </c>
      <c r="B228" s="274" t="s">
        <v>1765</v>
      </c>
      <c r="C228" s="252">
        <v>2014</v>
      </c>
      <c r="E228" s="267">
        <v>17</v>
      </c>
      <c r="F228" s="252">
        <v>14.9</v>
      </c>
      <c r="G228" s="252">
        <v>3.28</v>
      </c>
      <c r="H228" s="274" t="s">
        <v>1775</v>
      </c>
      <c r="I228" s="252" t="s">
        <v>1767</v>
      </c>
      <c r="K228" s="252" t="s">
        <v>1591</v>
      </c>
      <c r="L228" s="328" t="s">
        <v>711</v>
      </c>
      <c r="M228" s="252">
        <v>697</v>
      </c>
      <c r="N228" s="252">
        <v>279</v>
      </c>
      <c r="O228" s="252" t="s">
        <v>1769</v>
      </c>
      <c r="P228" s="245" t="s">
        <v>1791</v>
      </c>
      <c r="Q228" s="252" t="s">
        <v>207</v>
      </c>
      <c r="R228" s="252" t="s">
        <v>1788</v>
      </c>
      <c r="S228" s="32" t="s">
        <v>1796</v>
      </c>
      <c r="U228" s="252" t="s">
        <v>1790</v>
      </c>
      <c r="V228" s="252">
        <v>7.3999999999999996E-2</v>
      </c>
      <c r="W228" s="259">
        <v>-1</v>
      </c>
      <c r="X228" s="261">
        <v>1</v>
      </c>
      <c r="Y228" s="257">
        <v>-7.3999999999999996E-2</v>
      </c>
      <c r="Z228" s="397"/>
      <c r="AA228" s="397"/>
      <c r="AB228" s="324"/>
      <c r="AC228" s="266"/>
    </row>
    <row r="229" spans="1:35" ht="19" customHeight="1">
      <c r="A229" s="252" t="s">
        <v>1144</v>
      </c>
      <c r="B229" s="274" t="s">
        <v>1765</v>
      </c>
      <c r="C229" s="252">
        <v>2014</v>
      </c>
      <c r="E229" s="267">
        <v>17</v>
      </c>
      <c r="F229" s="252">
        <v>14.9</v>
      </c>
      <c r="G229" s="252">
        <v>3.28</v>
      </c>
      <c r="H229" s="274" t="s">
        <v>1775</v>
      </c>
      <c r="I229" s="252" t="s">
        <v>1767</v>
      </c>
      <c r="K229" s="252" t="s">
        <v>1591</v>
      </c>
      <c r="L229" s="328" t="s">
        <v>711</v>
      </c>
      <c r="M229" s="252">
        <v>697</v>
      </c>
      <c r="N229" s="252">
        <v>279</v>
      </c>
      <c r="O229" s="252" t="s">
        <v>1769</v>
      </c>
      <c r="P229" s="245" t="s">
        <v>1791</v>
      </c>
      <c r="Q229" s="252" t="s">
        <v>207</v>
      </c>
      <c r="R229" s="252" t="s">
        <v>1788</v>
      </c>
      <c r="S229" s="32" t="s">
        <v>1797</v>
      </c>
      <c r="U229" s="252" t="s">
        <v>1790</v>
      </c>
      <c r="V229" s="252">
        <v>-0.20699999999999999</v>
      </c>
      <c r="W229" s="259">
        <v>-1</v>
      </c>
      <c r="X229" s="261">
        <v>1</v>
      </c>
      <c r="Y229" s="257">
        <v>0.20699999999999999</v>
      </c>
      <c r="Z229" s="397"/>
      <c r="AA229" s="397"/>
      <c r="AB229" s="324"/>
      <c r="AC229" s="266"/>
    </row>
    <row r="230" spans="1:35" ht="19" customHeight="1">
      <c r="A230" s="252" t="s">
        <v>1144</v>
      </c>
      <c r="B230" s="274" t="s">
        <v>1765</v>
      </c>
      <c r="C230" s="252">
        <v>2014</v>
      </c>
      <c r="E230" s="267">
        <v>17</v>
      </c>
      <c r="F230" s="252">
        <v>14.9</v>
      </c>
      <c r="G230" s="252">
        <v>3.28</v>
      </c>
      <c r="H230" s="274" t="s">
        <v>1775</v>
      </c>
      <c r="I230" s="252" t="s">
        <v>1767</v>
      </c>
      <c r="K230" s="252" t="s">
        <v>1591</v>
      </c>
      <c r="L230" s="328" t="s">
        <v>711</v>
      </c>
      <c r="M230" s="252">
        <v>697</v>
      </c>
      <c r="N230" s="252">
        <v>279</v>
      </c>
      <c r="O230" s="252" t="s">
        <v>1769</v>
      </c>
      <c r="P230" s="245" t="s">
        <v>1791</v>
      </c>
      <c r="Q230" s="252" t="s">
        <v>207</v>
      </c>
      <c r="R230" s="259" t="s">
        <v>1430</v>
      </c>
      <c r="S230" s="32" t="s">
        <v>1212</v>
      </c>
      <c r="U230" s="252" t="s">
        <v>1792</v>
      </c>
      <c r="V230" s="252">
        <v>-0.17599999999999999</v>
      </c>
      <c r="W230" s="252">
        <v>-1</v>
      </c>
      <c r="X230" s="261">
        <v>1</v>
      </c>
      <c r="Y230" s="257">
        <v>0.17599999999999999</v>
      </c>
      <c r="Z230" s="397"/>
      <c r="AA230" s="397"/>
    </row>
    <row r="231" spans="1:35" ht="19" customHeight="1">
      <c r="B231" s="274"/>
      <c r="H231" s="274"/>
      <c r="L231" s="328"/>
      <c r="P231" s="245"/>
      <c r="R231" s="259"/>
      <c r="V231" s="252"/>
      <c r="X231" s="261"/>
      <c r="Y231" s="257"/>
      <c r="Z231" s="397"/>
      <c r="AA231" s="397"/>
    </row>
    <row r="232" spans="1:35" ht="19" customHeight="1">
      <c r="A232" s="252" t="s">
        <v>925</v>
      </c>
      <c r="B232" s="259" t="s">
        <v>1613</v>
      </c>
      <c r="C232" s="259">
        <v>2017</v>
      </c>
      <c r="D232" s="259"/>
      <c r="E232" s="382">
        <v>9</v>
      </c>
      <c r="F232" s="259">
        <v>29</v>
      </c>
      <c r="G232" s="259" t="s">
        <v>947</v>
      </c>
      <c r="H232" s="259"/>
      <c r="I232" s="259" t="s">
        <v>924</v>
      </c>
      <c r="J232" s="259"/>
      <c r="K232" s="259" t="s">
        <v>948</v>
      </c>
      <c r="L232" s="328" t="s">
        <v>711</v>
      </c>
      <c r="M232" s="259">
        <v>918</v>
      </c>
      <c r="N232" s="259">
        <v>373</v>
      </c>
      <c r="O232" s="259" t="s">
        <v>1991</v>
      </c>
      <c r="P232" s="319" t="s">
        <v>1592</v>
      </c>
      <c r="R232" s="259" t="s">
        <v>1031</v>
      </c>
      <c r="S232" s="259"/>
      <c r="T232" s="259" t="s">
        <v>1031</v>
      </c>
      <c r="U232" s="259" t="s">
        <v>1029</v>
      </c>
      <c r="V232" s="264">
        <v>0.01</v>
      </c>
      <c r="W232" s="259">
        <v>-1</v>
      </c>
      <c r="X232" s="261">
        <v>1</v>
      </c>
      <c r="Y232" s="257">
        <f t="shared" ref="Y232:Y237" si="15">V232*W232</f>
        <v>-0.01</v>
      </c>
      <c r="Z232" s="397"/>
      <c r="AA232" s="397"/>
      <c r="AB232" s="324"/>
      <c r="AC232" s="266"/>
      <c r="AD232" s="328" t="s">
        <v>950</v>
      </c>
      <c r="AE232" s="259"/>
      <c r="AF232" s="259"/>
      <c r="AG232" s="259"/>
      <c r="AH232" s="245"/>
      <c r="AI232" s="245"/>
    </row>
    <row r="233" spans="1:35" ht="19" customHeight="1">
      <c r="A233" s="252" t="s">
        <v>932</v>
      </c>
      <c r="B233" s="252" t="s">
        <v>933</v>
      </c>
      <c r="C233" s="252">
        <v>2023</v>
      </c>
      <c r="E233" s="267">
        <v>40</v>
      </c>
      <c r="F233" s="252">
        <v>26.4</v>
      </c>
      <c r="G233" s="252">
        <v>5.5</v>
      </c>
      <c r="I233" s="259" t="s">
        <v>924</v>
      </c>
      <c r="L233" s="323" t="s">
        <v>934</v>
      </c>
      <c r="M233" s="252">
        <v>589</v>
      </c>
      <c r="N233" s="252">
        <v>444</v>
      </c>
      <c r="O233" s="252" t="s">
        <v>1047</v>
      </c>
      <c r="P233" s="319" t="s">
        <v>1592</v>
      </c>
      <c r="R233" s="252" t="s">
        <v>1048</v>
      </c>
      <c r="T233" s="252" t="s">
        <v>1048</v>
      </c>
      <c r="U233" s="252" t="s">
        <v>936</v>
      </c>
      <c r="V233" s="260">
        <v>-0.49</v>
      </c>
      <c r="W233" s="252">
        <v>-1</v>
      </c>
      <c r="X233" s="261">
        <v>1</v>
      </c>
      <c r="Y233" s="257">
        <f t="shared" si="15"/>
        <v>0.49</v>
      </c>
      <c r="Z233" s="397"/>
      <c r="AA233" s="397"/>
      <c r="AB233" s="324"/>
      <c r="AC233" s="266"/>
      <c r="AD233" s="332"/>
      <c r="AE233" s="292"/>
      <c r="AF233" s="292"/>
      <c r="AG233" s="292"/>
    </row>
    <row r="234" spans="1:35" ht="19" customHeight="1">
      <c r="A234" s="252" t="s">
        <v>1144</v>
      </c>
      <c r="B234" s="259" t="s">
        <v>1325</v>
      </c>
      <c r="C234" s="259">
        <v>1997</v>
      </c>
      <c r="D234" s="259"/>
      <c r="E234" s="382">
        <v>15</v>
      </c>
      <c r="F234" s="252">
        <v>12.13</v>
      </c>
      <c r="G234" s="252">
        <v>1.21</v>
      </c>
      <c r="H234" s="259"/>
      <c r="I234" s="259" t="s">
        <v>924</v>
      </c>
      <c r="J234" s="32"/>
      <c r="K234" s="259"/>
      <c r="L234" s="328" t="s">
        <v>711</v>
      </c>
      <c r="M234" s="252">
        <v>547</v>
      </c>
      <c r="N234" s="252">
        <v>270</v>
      </c>
      <c r="O234" s="259" t="s">
        <v>1769</v>
      </c>
      <c r="P234" s="319" t="s">
        <v>1592</v>
      </c>
      <c r="Q234" s="252" t="s">
        <v>207</v>
      </c>
      <c r="R234" s="259" t="s">
        <v>1333</v>
      </c>
      <c r="S234" s="259"/>
      <c r="T234" s="259" t="s">
        <v>1333</v>
      </c>
      <c r="U234" s="259" t="s">
        <v>1386</v>
      </c>
      <c r="V234" s="264">
        <v>-0.13</v>
      </c>
      <c r="W234" s="259">
        <v>-1</v>
      </c>
      <c r="X234" s="261">
        <v>1</v>
      </c>
      <c r="Y234" s="257">
        <f t="shared" si="15"/>
        <v>0.13</v>
      </c>
      <c r="Z234" s="397"/>
      <c r="AA234" s="397"/>
      <c r="AB234" s="324"/>
      <c r="AC234" s="266"/>
      <c r="AD234" s="329"/>
      <c r="AE234" s="269"/>
      <c r="AF234" s="269"/>
      <c r="AG234" s="269"/>
      <c r="AH234" s="259"/>
      <c r="AI234" s="259"/>
    </row>
    <row r="235" spans="1:35" ht="19" customHeight="1">
      <c r="A235" s="252" t="s">
        <v>1144</v>
      </c>
      <c r="B235" s="259" t="s">
        <v>1424</v>
      </c>
      <c r="C235" s="259">
        <v>2013</v>
      </c>
      <c r="D235" s="259"/>
      <c r="E235" s="382">
        <v>46</v>
      </c>
      <c r="F235" s="259">
        <f>129/12</f>
        <v>10.75</v>
      </c>
      <c r="G235" s="259">
        <v>2.1</v>
      </c>
      <c r="H235" s="268" t="s">
        <v>1191</v>
      </c>
      <c r="I235" s="259" t="s">
        <v>924</v>
      </c>
      <c r="J235" s="32"/>
      <c r="K235" s="259"/>
      <c r="L235" s="328" t="s">
        <v>2254</v>
      </c>
      <c r="M235" s="259">
        <v>490</v>
      </c>
      <c r="N235" s="259">
        <v>375</v>
      </c>
      <c r="O235" s="259" t="s">
        <v>1192</v>
      </c>
      <c r="P235" s="319" t="s">
        <v>1592</v>
      </c>
      <c r="R235" s="259" t="s">
        <v>1430</v>
      </c>
      <c r="S235" s="259"/>
      <c r="T235" s="259" t="s">
        <v>1211</v>
      </c>
      <c r="U235" s="259"/>
      <c r="V235" s="264">
        <v>-0.32100000000000001</v>
      </c>
      <c r="W235" s="259">
        <v>-1</v>
      </c>
      <c r="X235" s="261">
        <v>1</v>
      </c>
      <c r="Y235" s="257">
        <f t="shared" si="15"/>
        <v>0.32100000000000001</v>
      </c>
      <c r="Z235" s="397"/>
      <c r="AA235" s="397"/>
      <c r="AB235" s="324"/>
      <c r="AC235" s="266"/>
      <c r="AD235" s="328"/>
      <c r="AE235" s="259"/>
      <c r="AF235" s="259"/>
      <c r="AG235" s="259"/>
      <c r="AH235" s="245"/>
      <c r="AI235" s="245"/>
    </row>
    <row r="236" spans="1:35" ht="19" customHeight="1">
      <c r="A236" s="252" t="s">
        <v>1144</v>
      </c>
      <c r="B236" s="259" t="s">
        <v>1424</v>
      </c>
      <c r="C236" s="259">
        <v>2013</v>
      </c>
      <c r="D236" s="259"/>
      <c r="E236" s="382">
        <v>46</v>
      </c>
      <c r="F236" s="259">
        <f>129/12</f>
        <v>10.75</v>
      </c>
      <c r="G236" s="259">
        <v>2.1</v>
      </c>
      <c r="H236" s="268" t="s">
        <v>1191</v>
      </c>
      <c r="I236" s="259" t="s">
        <v>924</v>
      </c>
      <c r="J236" s="32"/>
      <c r="K236" s="259"/>
      <c r="L236" s="328" t="s">
        <v>2254</v>
      </c>
      <c r="M236" s="259">
        <v>490</v>
      </c>
      <c r="N236" s="259">
        <v>375</v>
      </c>
      <c r="O236" s="259" t="s">
        <v>1192</v>
      </c>
      <c r="P236" s="319" t="s">
        <v>1592</v>
      </c>
      <c r="R236" s="259" t="s">
        <v>1427</v>
      </c>
      <c r="S236" s="259"/>
      <c r="T236" s="259" t="s">
        <v>315</v>
      </c>
      <c r="U236" s="259" t="s">
        <v>1428</v>
      </c>
      <c r="V236" s="264">
        <v>-0.26700000000000002</v>
      </c>
      <c r="W236" s="259">
        <v>-1</v>
      </c>
      <c r="X236" s="261">
        <v>1</v>
      </c>
      <c r="Y236" s="257">
        <f t="shared" si="15"/>
        <v>0.26700000000000002</v>
      </c>
      <c r="Z236" s="397"/>
      <c r="AA236" s="397"/>
      <c r="AB236" s="324"/>
      <c r="AC236" s="266"/>
      <c r="AD236" s="328"/>
      <c r="AE236" s="259"/>
      <c r="AF236" s="259"/>
      <c r="AG236" s="259"/>
      <c r="AH236" s="245"/>
      <c r="AI236" s="245"/>
    </row>
    <row r="237" spans="1:35" ht="19" customHeight="1">
      <c r="A237" s="252" t="s">
        <v>1144</v>
      </c>
      <c r="B237" s="259" t="s">
        <v>1424</v>
      </c>
      <c r="C237" s="259">
        <v>2013</v>
      </c>
      <c r="D237" s="259"/>
      <c r="E237" s="382">
        <v>46</v>
      </c>
      <c r="F237" s="259">
        <f>129/12</f>
        <v>10.75</v>
      </c>
      <c r="G237" s="259">
        <v>2.1</v>
      </c>
      <c r="H237" s="268" t="s">
        <v>1191</v>
      </c>
      <c r="I237" s="259" t="s">
        <v>924</v>
      </c>
      <c r="J237" s="32"/>
      <c r="K237" s="259"/>
      <c r="L237" s="328" t="s">
        <v>2254</v>
      </c>
      <c r="M237" s="259">
        <v>490</v>
      </c>
      <c r="N237" s="259">
        <v>375</v>
      </c>
      <c r="O237" s="259" t="s">
        <v>1192</v>
      </c>
      <c r="P237" s="319" t="s">
        <v>1592</v>
      </c>
      <c r="R237" s="259" t="s">
        <v>1427</v>
      </c>
      <c r="S237" s="259"/>
      <c r="T237" s="259" t="s">
        <v>315</v>
      </c>
      <c r="U237" s="259" t="s">
        <v>1431</v>
      </c>
      <c r="V237" s="264">
        <v>-0.32100000000000001</v>
      </c>
      <c r="W237" s="259">
        <v>-1</v>
      </c>
      <c r="X237" s="261">
        <v>1</v>
      </c>
      <c r="Y237" s="257">
        <f t="shared" si="15"/>
        <v>0.32100000000000001</v>
      </c>
      <c r="Z237" s="397"/>
      <c r="AA237" s="397"/>
      <c r="AB237" s="323"/>
      <c r="AC237" s="266"/>
      <c r="AD237" s="328"/>
      <c r="AE237" s="259"/>
      <c r="AF237" s="259"/>
      <c r="AG237" s="259"/>
      <c r="AH237" s="245"/>
      <c r="AI237" s="245"/>
    </row>
    <row r="238" spans="1:35" ht="19" customHeight="1">
      <c r="B238" s="259"/>
      <c r="C238" s="259"/>
      <c r="D238" s="259"/>
      <c r="E238" s="382"/>
      <c r="F238" s="259"/>
      <c r="G238" s="259"/>
      <c r="H238" s="268"/>
      <c r="I238" s="259"/>
      <c r="J238" s="32"/>
      <c r="K238" s="259"/>
      <c r="L238" s="328"/>
      <c r="M238" s="259"/>
      <c r="N238" s="259"/>
      <c r="O238" s="259"/>
      <c r="R238" s="259"/>
      <c r="S238" s="259"/>
      <c r="T238" s="259"/>
      <c r="U238" s="259"/>
      <c r="V238" s="264"/>
      <c r="W238" s="259"/>
      <c r="X238" s="261"/>
      <c r="Y238" s="257"/>
      <c r="Z238" s="397"/>
      <c r="AA238" s="397"/>
      <c r="AB238" s="323"/>
      <c r="AC238" s="266"/>
      <c r="AD238" s="328"/>
      <c r="AE238" s="259"/>
      <c r="AF238" s="259"/>
      <c r="AG238" s="259"/>
      <c r="AH238" s="245"/>
      <c r="AI238" s="245"/>
    </row>
    <row r="239" spans="1:35" ht="19" customHeight="1">
      <c r="A239" s="252" t="s">
        <v>925</v>
      </c>
      <c r="B239" s="259" t="s">
        <v>1609</v>
      </c>
      <c r="C239" s="259">
        <v>2020</v>
      </c>
      <c r="D239" s="259"/>
      <c r="E239" s="382">
        <v>19</v>
      </c>
      <c r="F239" s="259">
        <v>23.5</v>
      </c>
      <c r="G239" s="259">
        <v>6.1</v>
      </c>
      <c r="H239" s="259"/>
      <c r="I239" s="259" t="s">
        <v>924</v>
      </c>
      <c r="J239" s="32"/>
      <c r="K239" s="259" t="s">
        <v>938</v>
      </c>
      <c r="L239" s="328" t="s">
        <v>711</v>
      </c>
      <c r="M239" s="164">
        <v>1042</v>
      </c>
      <c r="N239" s="164">
        <v>428</v>
      </c>
      <c r="O239" s="110" t="s">
        <v>2286</v>
      </c>
      <c r="P239" s="245" t="s">
        <v>1075</v>
      </c>
      <c r="R239" s="259" t="s">
        <v>105</v>
      </c>
      <c r="S239" s="259"/>
      <c r="T239" s="259" t="s">
        <v>651</v>
      </c>
      <c r="U239" s="259"/>
      <c r="V239" s="264">
        <v>0.37</v>
      </c>
      <c r="W239" s="252">
        <v>1</v>
      </c>
      <c r="X239" s="261">
        <v>1</v>
      </c>
      <c r="Y239" s="257">
        <f t="shared" ref="Y239:Y245" si="16">V239*W239</f>
        <v>0.37</v>
      </c>
      <c r="Z239" s="397"/>
      <c r="AA239" s="397"/>
      <c r="AB239" s="324"/>
      <c r="AC239" s="266"/>
      <c r="AD239" s="328"/>
      <c r="AE239" s="259"/>
      <c r="AF239" s="259"/>
      <c r="AG239" s="259"/>
      <c r="AH239" s="259"/>
      <c r="AI239" s="259"/>
    </row>
    <row r="240" spans="1:35" ht="19" customHeight="1">
      <c r="A240" s="252" t="s">
        <v>925</v>
      </c>
      <c r="B240" s="259" t="s">
        <v>1609</v>
      </c>
      <c r="C240" s="259">
        <v>2017</v>
      </c>
      <c r="D240" s="259"/>
      <c r="E240" s="382">
        <v>37</v>
      </c>
      <c r="F240" s="259">
        <v>27.5</v>
      </c>
      <c r="G240" s="259">
        <v>7.3</v>
      </c>
      <c r="H240" s="259"/>
      <c r="I240" s="259" t="s">
        <v>924</v>
      </c>
      <c r="J240" s="32"/>
      <c r="K240" s="259" t="s">
        <v>938</v>
      </c>
      <c r="L240" s="328" t="s">
        <v>711</v>
      </c>
      <c r="M240" s="259">
        <v>822</v>
      </c>
      <c r="N240" s="259">
        <v>324</v>
      </c>
      <c r="O240" s="259" t="s">
        <v>1475</v>
      </c>
      <c r="P240" s="245" t="s">
        <v>1075</v>
      </c>
      <c r="R240" s="259" t="s">
        <v>105</v>
      </c>
      <c r="S240" s="259"/>
      <c r="T240" s="259"/>
      <c r="U240" s="259"/>
      <c r="V240" s="264">
        <v>-0.04</v>
      </c>
      <c r="W240" s="259">
        <v>-1</v>
      </c>
      <c r="X240" s="261">
        <v>1</v>
      </c>
      <c r="Y240" s="257">
        <f t="shared" si="16"/>
        <v>0.04</v>
      </c>
      <c r="Z240" s="397"/>
      <c r="AA240" s="397"/>
      <c r="AB240" s="324"/>
      <c r="AC240" s="266"/>
      <c r="AD240" s="328"/>
      <c r="AE240" s="259"/>
      <c r="AF240" s="259"/>
      <c r="AG240" s="259"/>
      <c r="AH240" s="259"/>
      <c r="AI240" s="259"/>
    </row>
    <row r="241" spans="1:35" ht="19" customHeight="1">
      <c r="A241" s="252" t="s">
        <v>925</v>
      </c>
      <c r="B241" s="259" t="s">
        <v>1608</v>
      </c>
      <c r="C241" s="259">
        <v>2018</v>
      </c>
      <c r="D241" s="259"/>
      <c r="E241" s="382">
        <v>33</v>
      </c>
      <c r="F241" s="259">
        <v>29.5</v>
      </c>
      <c r="G241" s="252">
        <f>(37-24)/4</f>
        <v>3.25</v>
      </c>
      <c r="H241" s="259" t="s">
        <v>956</v>
      </c>
      <c r="I241" s="259" t="s">
        <v>924</v>
      </c>
      <c r="J241" s="32"/>
      <c r="K241" s="259" t="s">
        <v>957</v>
      </c>
      <c r="L241" s="328" t="s">
        <v>711</v>
      </c>
      <c r="M241" s="259">
        <v>594.79999999999995</v>
      </c>
      <c r="N241" s="259">
        <v>278.5</v>
      </c>
      <c r="O241" s="259" t="s">
        <v>1976</v>
      </c>
      <c r="P241" s="245" t="s">
        <v>1075</v>
      </c>
      <c r="R241" s="259" t="s">
        <v>1465</v>
      </c>
      <c r="S241" s="259"/>
      <c r="T241" s="259"/>
      <c r="U241" s="259" t="s">
        <v>1464</v>
      </c>
      <c r="V241" s="264">
        <v>1.0999999999999999E-2</v>
      </c>
      <c r="W241" s="283">
        <v>-1</v>
      </c>
      <c r="X241" s="261">
        <v>1</v>
      </c>
      <c r="Y241" s="257">
        <f t="shared" si="16"/>
        <v>-1.0999999999999999E-2</v>
      </c>
      <c r="Z241" s="397"/>
      <c r="AA241" s="397"/>
      <c r="AB241" s="324"/>
      <c r="AC241" s="266"/>
      <c r="AD241" s="328"/>
      <c r="AE241" s="259"/>
      <c r="AF241" s="259"/>
      <c r="AG241" s="259"/>
      <c r="AH241" s="245"/>
      <c r="AI241" s="245"/>
    </row>
    <row r="242" spans="1:35" ht="19" customHeight="1">
      <c r="A242" s="252" t="s">
        <v>925</v>
      </c>
      <c r="B242" s="259" t="s">
        <v>1608</v>
      </c>
      <c r="C242" s="259">
        <v>2018</v>
      </c>
      <c r="D242" s="259"/>
      <c r="E242" s="382">
        <v>33</v>
      </c>
      <c r="F242" s="259">
        <v>29.5</v>
      </c>
      <c r="G242" s="252">
        <f>(37-24)/4</f>
        <v>3.25</v>
      </c>
      <c r="H242" s="259" t="s">
        <v>956</v>
      </c>
      <c r="I242" s="259" t="s">
        <v>924</v>
      </c>
      <c r="J242" s="32"/>
      <c r="K242" s="259" t="s">
        <v>957</v>
      </c>
      <c r="L242" s="328" t="s">
        <v>711</v>
      </c>
      <c r="M242" s="259">
        <v>594.79999999999995</v>
      </c>
      <c r="N242" s="259">
        <v>278.5</v>
      </c>
      <c r="O242" s="259" t="s">
        <v>1976</v>
      </c>
      <c r="P242" s="245" t="s">
        <v>1075</v>
      </c>
      <c r="R242" s="259" t="s">
        <v>1466</v>
      </c>
      <c r="S242" s="259"/>
      <c r="T242" s="259"/>
      <c r="U242" s="293" t="s">
        <v>1464</v>
      </c>
      <c r="V242" s="340">
        <v>4.5999999999999999E-2</v>
      </c>
      <c r="W242" s="341">
        <v>1</v>
      </c>
      <c r="X242" s="277">
        <v>0</v>
      </c>
      <c r="Y242" s="278">
        <f t="shared" si="16"/>
        <v>4.5999999999999999E-2</v>
      </c>
      <c r="Z242" s="397"/>
      <c r="AA242" s="397"/>
      <c r="AB242" s="338" t="s">
        <v>2306</v>
      </c>
      <c r="AC242" s="259"/>
      <c r="AD242" s="328"/>
      <c r="AE242" s="259"/>
      <c r="AF242" s="259"/>
      <c r="AG242" s="259"/>
      <c r="AH242" s="245"/>
      <c r="AI242" s="245"/>
    </row>
    <row r="243" spans="1:35" ht="19" customHeight="1">
      <c r="A243" s="252" t="s">
        <v>925</v>
      </c>
      <c r="B243" s="259" t="s">
        <v>1608</v>
      </c>
      <c r="C243" s="259">
        <v>2018</v>
      </c>
      <c r="D243" s="259"/>
      <c r="E243" s="382">
        <v>33</v>
      </c>
      <c r="F243" s="259">
        <v>29.5</v>
      </c>
      <c r="G243" s="252">
        <f>(37-24)/4</f>
        <v>3.25</v>
      </c>
      <c r="H243" s="259" t="s">
        <v>959</v>
      </c>
      <c r="I243" s="259" t="s">
        <v>924</v>
      </c>
      <c r="J243" s="32"/>
      <c r="K243" s="259" t="s">
        <v>957</v>
      </c>
      <c r="L243" s="328" t="s">
        <v>711</v>
      </c>
      <c r="M243" s="259">
        <v>594.79999999999995</v>
      </c>
      <c r="N243" s="259">
        <v>278.5</v>
      </c>
      <c r="O243" s="259" t="s">
        <v>1976</v>
      </c>
      <c r="P243" s="245" t="s">
        <v>1075</v>
      </c>
      <c r="R243" s="259" t="s">
        <v>1467</v>
      </c>
      <c r="S243" s="259"/>
      <c r="T243" s="259"/>
      <c r="U243" s="293" t="s">
        <v>1464</v>
      </c>
      <c r="V243" s="340">
        <v>-2.4E-2</v>
      </c>
      <c r="W243" s="341">
        <v>-1</v>
      </c>
      <c r="X243" s="277">
        <v>0</v>
      </c>
      <c r="Y243" s="278">
        <f t="shared" si="16"/>
        <v>2.4E-2</v>
      </c>
      <c r="Z243" s="397"/>
      <c r="AA243" s="397"/>
      <c r="AB243" s="338" t="s">
        <v>2306</v>
      </c>
      <c r="AC243" s="252"/>
      <c r="AD243" s="328"/>
      <c r="AE243" s="259"/>
      <c r="AF243" s="259"/>
      <c r="AG243" s="259"/>
      <c r="AH243" s="245"/>
      <c r="AI243" s="245"/>
    </row>
    <row r="244" spans="1:35" ht="19" customHeight="1">
      <c r="A244" s="252" t="s">
        <v>932</v>
      </c>
      <c r="B244" s="252" t="s">
        <v>933</v>
      </c>
      <c r="C244" s="252">
        <v>2023</v>
      </c>
      <c r="E244" s="267">
        <v>40</v>
      </c>
      <c r="F244" s="252">
        <v>26.4</v>
      </c>
      <c r="G244" s="252">
        <v>5.5</v>
      </c>
      <c r="I244" s="259" t="s">
        <v>924</v>
      </c>
      <c r="L244" s="323" t="s">
        <v>934</v>
      </c>
      <c r="M244" s="252">
        <v>589</v>
      </c>
      <c r="N244" s="252">
        <v>444</v>
      </c>
      <c r="O244" s="252" t="s">
        <v>1077</v>
      </c>
      <c r="P244" s="245" t="s">
        <v>1075</v>
      </c>
      <c r="R244" s="252" t="s">
        <v>1078</v>
      </c>
      <c r="V244" s="260">
        <v>-0.23</v>
      </c>
      <c r="W244" s="252">
        <v>-1</v>
      </c>
      <c r="X244" s="261">
        <v>1</v>
      </c>
      <c r="Y244" s="257">
        <f t="shared" si="16"/>
        <v>0.23</v>
      </c>
      <c r="Z244" s="397"/>
      <c r="AA244" s="397"/>
      <c r="AB244" s="324"/>
      <c r="AC244" s="266"/>
    </row>
    <row r="245" spans="1:35" ht="19" customHeight="1">
      <c r="A245" s="252" t="s">
        <v>932</v>
      </c>
      <c r="B245" s="288" t="s">
        <v>2153</v>
      </c>
      <c r="C245" s="272">
        <v>2007</v>
      </c>
      <c r="E245" s="267">
        <v>12</v>
      </c>
      <c r="F245" s="271">
        <v>28.5</v>
      </c>
      <c r="G245" s="273">
        <v>3.3</v>
      </c>
      <c r="H245" s="252" t="s">
        <v>24</v>
      </c>
      <c r="I245" s="252" t="s">
        <v>924</v>
      </c>
      <c r="K245" s="252" t="s">
        <v>2223</v>
      </c>
      <c r="L245" s="328" t="s">
        <v>711</v>
      </c>
      <c r="M245" s="252" t="s">
        <v>2184</v>
      </c>
      <c r="N245" s="252" t="s">
        <v>2184</v>
      </c>
      <c r="O245" s="252" t="s">
        <v>24</v>
      </c>
      <c r="P245" s="394" t="s">
        <v>1075</v>
      </c>
      <c r="Q245" s="259"/>
      <c r="R245" s="259" t="s">
        <v>2238</v>
      </c>
      <c r="T245" s="32" t="s">
        <v>2240</v>
      </c>
      <c r="U245" s="252" t="s">
        <v>2224</v>
      </c>
      <c r="V245" s="260">
        <v>-0.64</v>
      </c>
      <c r="W245" s="261">
        <v>-1</v>
      </c>
      <c r="X245" s="261">
        <v>1</v>
      </c>
      <c r="Y245" s="262">
        <f t="shared" si="16"/>
        <v>0.64</v>
      </c>
      <c r="AB245" s="338"/>
      <c r="AC245" s="266"/>
    </row>
    <row r="246" spans="1:35" ht="19" customHeight="1">
      <c r="B246" s="288"/>
      <c r="C246" s="272"/>
      <c r="F246" s="271"/>
      <c r="G246" s="273"/>
      <c r="L246" s="328"/>
      <c r="P246" s="394"/>
      <c r="Q246" s="259"/>
      <c r="R246" s="259"/>
      <c r="T246" s="32"/>
      <c r="W246" s="261"/>
      <c r="X246" s="261"/>
      <c r="AB246" s="338"/>
      <c r="AC246" s="266"/>
    </row>
    <row r="247" spans="1:35" ht="19" customHeight="1">
      <c r="A247" s="252" t="s">
        <v>1757</v>
      </c>
      <c r="B247" s="252" t="s">
        <v>290</v>
      </c>
      <c r="C247" s="252">
        <v>2001</v>
      </c>
      <c r="E247" s="267">
        <v>18</v>
      </c>
      <c r="F247" s="252">
        <v>17.88</v>
      </c>
      <c r="G247" s="259">
        <v>2.74</v>
      </c>
      <c r="H247" s="259" t="s">
        <v>1151</v>
      </c>
      <c r="I247" s="259" t="s">
        <v>924</v>
      </c>
      <c r="L247" s="328" t="s">
        <v>711</v>
      </c>
      <c r="M247" s="252" t="s">
        <v>1149</v>
      </c>
      <c r="N247" s="252" t="s">
        <v>1149</v>
      </c>
      <c r="O247" s="252" t="s">
        <v>24</v>
      </c>
      <c r="P247" s="245" t="s">
        <v>1075</v>
      </c>
      <c r="R247" s="259" t="s">
        <v>105</v>
      </c>
      <c r="S247" s="259"/>
      <c r="V247" s="260">
        <v>-0.44</v>
      </c>
      <c r="W247" s="252">
        <v>-1</v>
      </c>
      <c r="X247" s="261">
        <v>1</v>
      </c>
      <c r="Y247" s="257">
        <f>V247*W247</f>
        <v>0.44</v>
      </c>
      <c r="Z247" s="397"/>
      <c r="AA247" s="397"/>
    </row>
    <row r="248" spans="1:35" ht="19" customHeight="1">
      <c r="A248" s="252" t="s">
        <v>1757</v>
      </c>
      <c r="B248" s="252" t="s">
        <v>290</v>
      </c>
      <c r="C248" s="252">
        <v>2001</v>
      </c>
      <c r="E248" s="267">
        <v>18</v>
      </c>
      <c r="F248" s="252">
        <v>17.88</v>
      </c>
      <c r="G248" s="259">
        <v>2.74</v>
      </c>
      <c r="H248" s="259" t="s">
        <v>1154</v>
      </c>
      <c r="I248" s="259" t="s">
        <v>924</v>
      </c>
      <c r="L248" s="328" t="s">
        <v>711</v>
      </c>
      <c r="M248" s="252" t="s">
        <v>1149</v>
      </c>
      <c r="N248" s="252" t="s">
        <v>1149</v>
      </c>
      <c r="O248" s="252" t="s">
        <v>24</v>
      </c>
      <c r="P248" s="245" t="s">
        <v>1075</v>
      </c>
      <c r="R248" s="252" t="s">
        <v>1130</v>
      </c>
      <c r="T248" s="252" t="s">
        <v>1131</v>
      </c>
      <c r="U248" s="252" t="s">
        <v>340</v>
      </c>
      <c r="V248" s="260">
        <v>0.16</v>
      </c>
      <c r="W248" s="252">
        <v>-1</v>
      </c>
      <c r="X248" s="261">
        <v>1</v>
      </c>
      <c r="Y248" s="257">
        <f>V248*W248</f>
        <v>-0.16</v>
      </c>
      <c r="Z248" s="397"/>
      <c r="AA248" s="397"/>
    </row>
    <row r="249" spans="1:35" ht="19" customHeight="1">
      <c r="A249" s="252" t="s">
        <v>1757</v>
      </c>
      <c r="B249" s="252" t="s">
        <v>290</v>
      </c>
      <c r="C249" s="252">
        <v>2001</v>
      </c>
      <c r="E249" s="267">
        <v>18</v>
      </c>
      <c r="F249" s="252">
        <v>17.88</v>
      </c>
      <c r="G249" s="259">
        <v>2.74</v>
      </c>
      <c r="H249" s="259" t="s">
        <v>1155</v>
      </c>
      <c r="I249" s="259" t="s">
        <v>924</v>
      </c>
      <c r="L249" s="328" t="s">
        <v>711</v>
      </c>
      <c r="M249" s="252" t="s">
        <v>1149</v>
      </c>
      <c r="N249" s="252" t="s">
        <v>1149</v>
      </c>
      <c r="O249" s="252" t="s">
        <v>24</v>
      </c>
      <c r="P249" s="245" t="s">
        <v>1075</v>
      </c>
      <c r="R249" s="252" t="s">
        <v>1130</v>
      </c>
      <c r="T249" s="252" t="s">
        <v>1132</v>
      </c>
      <c r="U249" s="252" t="s">
        <v>340</v>
      </c>
      <c r="V249" s="260">
        <v>-0.39</v>
      </c>
      <c r="W249" s="252">
        <v>-1</v>
      </c>
      <c r="X249" s="261">
        <v>1</v>
      </c>
      <c r="Y249" s="257">
        <f>V249*W249</f>
        <v>0.39</v>
      </c>
      <c r="Z249" s="397"/>
      <c r="AA249" s="397"/>
    </row>
    <row r="250" spans="1:35" ht="19" customHeight="1">
      <c r="G250" s="259"/>
      <c r="H250" s="259"/>
      <c r="I250" s="259"/>
      <c r="L250" s="328"/>
      <c r="P250" s="245"/>
      <c r="X250" s="261"/>
      <c r="Y250" s="257"/>
      <c r="Z250" s="397"/>
      <c r="AA250" s="397"/>
    </row>
    <row r="251" spans="1:35" ht="19" customHeight="1">
      <c r="A251" s="252" t="s">
        <v>925</v>
      </c>
      <c r="B251" s="259" t="s">
        <v>1608</v>
      </c>
      <c r="C251" s="259">
        <v>2018</v>
      </c>
      <c r="D251" s="259"/>
      <c r="E251" s="382">
        <v>33</v>
      </c>
      <c r="F251" s="259">
        <v>29.5</v>
      </c>
      <c r="G251" s="252">
        <f>(37-24)/4</f>
        <v>3.25</v>
      </c>
      <c r="H251" s="259" t="s">
        <v>956</v>
      </c>
      <c r="I251" s="259" t="s">
        <v>924</v>
      </c>
      <c r="J251" s="32"/>
      <c r="K251" s="259" t="s">
        <v>957</v>
      </c>
      <c r="L251" s="328" t="s">
        <v>711</v>
      </c>
      <c r="M251" s="259">
        <v>594.79999999999995</v>
      </c>
      <c r="N251" s="259">
        <v>278.5</v>
      </c>
      <c r="O251" s="259" t="s">
        <v>1976</v>
      </c>
      <c r="P251" s="245" t="s">
        <v>1032</v>
      </c>
      <c r="R251" s="259" t="s">
        <v>1033</v>
      </c>
      <c r="S251" s="259"/>
      <c r="T251" s="259"/>
      <c r="U251" s="259" t="s">
        <v>958</v>
      </c>
      <c r="V251" s="264">
        <v>0.16700000000000001</v>
      </c>
      <c r="W251" s="261">
        <v>1</v>
      </c>
      <c r="X251" s="261">
        <v>1</v>
      </c>
      <c r="Y251" s="257">
        <f t="shared" ref="Y251:Y260" si="17">V251*W251</f>
        <v>0.16700000000000001</v>
      </c>
      <c r="Z251" s="397"/>
      <c r="AA251" s="397"/>
      <c r="AB251" s="324"/>
      <c r="AC251" s="266"/>
      <c r="AD251" s="328"/>
      <c r="AE251" s="259"/>
      <c r="AF251" s="259"/>
      <c r="AG251" s="259"/>
      <c r="AH251" s="245" t="s">
        <v>1034</v>
      </c>
      <c r="AI251" s="245"/>
    </row>
    <row r="252" spans="1:35" ht="19" customHeight="1">
      <c r="A252" s="252" t="s">
        <v>925</v>
      </c>
      <c r="B252" s="259" t="s">
        <v>1608</v>
      </c>
      <c r="C252" s="259">
        <v>2018</v>
      </c>
      <c r="D252" s="259"/>
      <c r="E252" s="382">
        <v>33</v>
      </c>
      <c r="F252" s="259">
        <v>29.5</v>
      </c>
      <c r="G252" s="252">
        <f>(37-24)/4</f>
        <v>3.25</v>
      </c>
      <c r="H252" s="259" t="s">
        <v>956</v>
      </c>
      <c r="I252" s="259" t="s">
        <v>924</v>
      </c>
      <c r="J252" s="32"/>
      <c r="K252" s="259" t="s">
        <v>957</v>
      </c>
      <c r="L252" s="328" t="s">
        <v>711</v>
      </c>
      <c r="M252" s="259">
        <v>594.79999999999995</v>
      </c>
      <c r="N252" s="259">
        <v>278.5</v>
      </c>
      <c r="O252" s="259" t="s">
        <v>1976</v>
      </c>
      <c r="P252" s="245" t="s">
        <v>1032</v>
      </c>
      <c r="R252" s="259" t="s">
        <v>1035</v>
      </c>
      <c r="S252" s="259"/>
      <c r="T252" s="259" t="s">
        <v>961</v>
      </c>
      <c r="U252" s="259" t="s">
        <v>958</v>
      </c>
      <c r="V252" s="264">
        <v>-0.11799999999999999</v>
      </c>
      <c r="W252" s="261">
        <v>1</v>
      </c>
      <c r="X252" s="261">
        <v>1</v>
      </c>
      <c r="Y252" s="257">
        <f t="shared" si="17"/>
        <v>-0.11799999999999999</v>
      </c>
      <c r="Z252" s="397"/>
      <c r="AA252" s="397"/>
      <c r="AB252" s="324"/>
      <c r="AC252" s="266"/>
      <c r="AD252" s="328"/>
      <c r="AE252" s="259"/>
      <c r="AF252" s="259"/>
      <c r="AG252" s="259"/>
      <c r="AH252" s="245" t="s">
        <v>1034</v>
      </c>
      <c r="AI252" s="245"/>
    </row>
    <row r="253" spans="1:35" ht="19" customHeight="1">
      <c r="A253" s="252" t="s">
        <v>925</v>
      </c>
      <c r="B253" s="259" t="s">
        <v>1609</v>
      </c>
      <c r="C253" s="259">
        <v>2020</v>
      </c>
      <c r="D253" s="259"/>
      <c r="E253" s="382">
        <v>19</v>
      </c>
      <c r="F253" s="259">
        <v>23.5</v>
      </c>
      <c r="G253" s="259">
        <v>6.1</v>
      </c>
      <c r="H253" s="259"/>
      <c r="I253" s="259" t="s">
        <v>924</v>
      </c>
      <c r="J253" s="32"/>
      <c r="K253" s="259" t="s">
        <v>938</v>
      </c>
      <c r="L253" s="328" t="s">
        <v>711</v>
      </c>
      <c r="M253" s="164">
        <v>1042</v>
      </c>
      <c r="N253" s="164">
        <v>428</v>
      </c>
      <c r="O253" s="110" t="s">
        <v>2286</v>
      </c>
      <c r="P253" s="245" t="s">
        <v>1032</v>
      </c>
      <c r="R253" s="259" t="s">
        <v>907</v>
      </c>
      <c r="S253" s="259"/>
      <c r="T253" s="259" t="s">
        <v>1445</v>
      </c>
      <c r="U253" s="259"/>
      <c r="V253" s="264">
        <v>0.12</v>
      </c>
      <c r="W253" s="252">
        <v>1</v>
      </c>
      <c r="X253" s="261">
        <v>1</v>
      </c>
      <c r="Y253" s="257">
        <f t="shared" si="17"/>
        <v>0.12</v>
      </c>
      <c r="Z253" s="397"/>
      <c r="AA253" s="397"/>
      <c r="AB253" s="324"/>
      <c r="AC253" s="266"/>
      <c r="AD253" s="328"/>
      <c r="AE253" s="259"/>
      <c r="AF253" s="259"/>
      <c r="AG253" s="259"/>
      <c r="AH253" s="259"/>
      <c r="AI253" s="259"/>
    </row>
    <row r="254" spans="1:35" ht="19" customHeight="1">
      <c r="A254" s="252" t="s">
        <v>925</v>
      </c>
      <c r="B254" s="259" t="s">
        <v>1609</v>
      </c>
      <c r="C254" s="259">
        <v>2017</v>
      </c>
      <c r="D254" s="259"/>
      <c r="E254" s="382">
        <v>37</v>
      </c>
      <c r="F254" s="259">
        <v>27.5</v>
      </c>
      <c r="G254" s="259">
        <v>7.3</v>
      </c>
      <c r="H254" s="259"/>
      <c r="I254" s="259" t="s">
        <v>924</v>
      </c>
      <c r="J254" s="32"/>
      <c r="K254" s="259" t="s">
        <v>938</v>
      </c>
      <c r="L254" s="328" t="s">
        <v>711</v>
      </c>
      <c r="M254" s="259">
        <v>822</v>
      </c>
      <c r="N254" s="259">
        <v>324</v>
      </c>
      <c r="O254" s="259" t="s">
        <v>1475</v>
      </c>
      <c r="P254" s="245" t="s">
        <v>1032</v>
      </c>
      <c r="R254" s="259" t="s">
        <v>907</v>
      </c>
      <c r="S254" s="259"/>
      <c r="T254" s="259" t="s">
        <v>1445</v>
      </c>
      <c r="U254" s="259"/>
      <c r="V254" s="264">
        <v>0.4</v>
      </c>
      <c r="W254" s="259">
        <v>1</v>
      </c>
      <c r="X254" s="261">
        <v>1</v>
      </c>
      <c r="Y254" s="257">
        <f t="shared" si="17"/>
        <v>0.4</v>
      </c>
      <c r="Z254" s="397"/>
      <c r="AA254" s="397"/>
      <c r="AB254" s="324"/>
      <c r="AC254" s="266"/>
      <c r="AD254" s="328"/>
      <c r="AE254" s="259"/>
      <c r="AF254" s="259"/>
      <c r="AG254" s="259"/>
      <c r="AH254" s="259"/>
      <c r="AI254" s="259"/>
    </row>
    <row r="255" spans="1:35" ht="19" customHeight="1">
      <c r="A255" s="252" t="s">
        <v>925</v>
      </c>
      <c r="B255" s="259" t="s">
        <v>1609</v>
      </c>
      <c r="C255" s="259">
        <v>2020</v>
      </c>
      <c r="D255" s="259"/>
      <c r="E255" s="382">
        <v>19</v>
      </c>
      <c r="F255" s="259">
        <v>23.5</v>
      </c>
      <c r="G255" s="259">
        <v>6.1</v>
      </c>
      <c r="H255" s="259"/>
      <c r="I255" s="259" t="s">
        <v>924</v>
      </c>
      <c r="J255" s="32"/>
      <c r="K255" s="259" t="s">
        <v>938</v>
      </c>
      <c r="L255" s="328" t="s">
        <v>711</v>
      </c>
      <c r="M255" s="164">
        <v>1042</v>
      </c>
      <c r="N255" s="164">
        <v>428</v>
      </c>
      <c r="O255" s="110" t="s">
        <v>2286</v>
      </c>
      <c r="P255" s="245" t="s">
        <v>1032</v>
      </c>
      <c r="R255" s="252" t="s">
        <v>1014</v>
      </c>
      <c r="T255" s="259" t="s">
        <v>651</v>
      </c>
      <c r="U255" s="259"/>
      <c r="V255" s="264">
        <v>-0.1</v>
      </c>
      <c r="W255" s="252">
        <v>1</v>
      </c>
      <c r="X255" s="261">
        <v>1</v>
      </c>
      <c r="Y255" s="257">
        <f t="shared" si="17"/>
        <v>-0.1</v>
      </c>
      <c r="Z255" s="397"/>
      <c r="AA255" s="397"/>
      <c r="AB255" s="324"/>
      <c r="AC255" s="266"/>
      <c r="AD255" s="328"/>
      <c r="AE255" s="259"/>
      <c r="AF255" s="259"/>
      <c r="AG255" s="259"/>
      <c r="AH255" s="259"/>
      <c r="AI255" s="259"/>
    </row>
    <row r="256" spans="1:35" ht="19" customHeight="1">
      <c r="A256" s="252" t="s">
        <v>925</v>
      </c>
      <c r="B256" s="259" t="s">
        <v>1609</v>
      </c>
      <c r="C256" s="259">
        <v>2017</v>
      </c>
      <c r="D256" s="259"/>
      <c r="E256" s="382">
        <v>37</v>
      </c>
      <c r="F256" s="259">
        <v>27.5</v>
      </c>
      <c r="G256" s="259">
        <v>7.3</v>
      </c>
      <c r="H256" s="259"/>
      <c r="I256" s="259" t="s">
        <v>924</v>
      </c>
      <c r="J256" s="32"/>
      <c r="K256" s="259" t="s">
        <v>938</v>
      </c>
      <c r="L256" s="328" t="s">
        <v>711</v>
      </c>
      <c r="M256" s="259">
        <v>822</v>
      </c>
      <c r="N256" s="259">
        <v>324</v>
      </c>
      <c r="O256" s="259" t="s">
        <v>1475</v>
      </c>
      <c r="P256" s="245" t="s">
        <v>1032</v>
      </c>
      <c r="R256" s="252" t="s">
        <v>1014</v>
      </c>
      <c r="T256" s="259"/>
      <c r="U256" s="259"/>
      <c r="V256" s="264">
        <v>0.1</v>
      </c>
      <c r="W256" s="259">
        <v>1</v>
      </c>
      <c r="X256" s="261">
        <v>1</v>
      </c>
      <c r="Y256" s="257">
        <f t="shared" si="17"/>
        <v>0.1</v>
      </c>
      <c r="Z256" s="397"/>
      <c r="AA256" s="397"/>
      <c r="AB256" s="324"/>
      <c r="AC256" s="266"/>
      <c r="AD256" s="328"/>
      <c r="AE256" s="259"/>
      <c r="AF256" s="259"/>
      <c r="AG256" s="259"/>
      <c r="AH256" s="259"/>
      <c r="AI256" s="259"/>
    </row>
    <row r="257" spans="1:35" ht="19" customHeight="1">
      <c r="A257" s="252" t="s">
        <v>932</v>
      </c>
      <c r="B257" s="252" t="s">
        <v>933</v>
      </c>
      <c r="C257" s="252">
        <v>2023</v>
      </c>
      <c r="E257" s="267">
        <v>40</v>
      </c>
      <c r="F257" s="252">
        <v>26.4</v>
      </c>
      <c r="G257" s="252">
        <v>5.5</v>
      </c>
      <c r="I257" s="259" t="s">
        <v>924</v>
      </c>
      <c r="L257" s="323" t="s">
        <v>934</v>
      </c>
      <c r="M257" s="252">
        <v>589</v>
      </c>
      <c r="N257" s="252">
        <v>444</v>
      </c>
      <c r="O257" s="252" t="s">
        <v>1036</v>
      </c>
      <c r="P257" s="245" t="s">
        <v>1032</v>
      </c>
      <c r="R257" s="252" t="s">
        <v>1037</v>
      </c>
      <c r="T257" s="252" t="s">
        <v>1038</v>
      </c>
      <c r="U257" s="252" t="s">
        <v>936</v>
      </c>
      <c r="V257" s="260">
        <v>-0.22</v>
      </c>
      <c r="W257" s="252">
        <v>-1</v>
      </c>
      <c r="X257" s="261">
        <v>1</v>
      </c>
      <c r="Y257" s="257">
        <f t="shared" si="17"/>
        <v>0.22</v>
      </c>
      <c r="Z257" s="397"/>
      <c r="AA257" s="397"/>
      <c r="AB257" s="324"/>
      <c r="AC257" s="266"/>
    </row>
    <row r="258" spans="1:35" ht="19" customHeight="1">
      <c r="A258" s="252" t="s">
        <v>932</v>
      </c>
      <c r="B258" s="252" t="s">
        <v>933</v>
      </c>
      <c r="C258" s="252">
        <v>2023</v>
      </c>
      <c r="E258" s="267">
        <v>40</v>
      </c>
      <c r="F258" s="252">
        <v>26.4</v>
      </c>
      <c r="G258" s="252">
        <v>5.5</v>
      </c>
      <c r="I258" s="259" t="s">
        <v>924</v>
      </c>
      <c r="L258" s="323" t="s">
        <v>934</v>
      </c>
      <c r="M258" s="252">
        <v>589</v>
      </c>
      <c r="N258" s="252">
        <v>444</v>
      </c>
      <c r="O258" s="252" t="s">
        <v>1039</v>
      </c>
      <c r="P258" s="245" t="s">
        <v>1032</v>
      </c>
      <c r="R258" s="252" t="s">
        <v>1040</v>
      </c>
      <c r="T258" s="259" t="s">
        <v>1603</v>
      </c>
      <c r="U258" s="252" t="s">
        <v>936</v>
      </c>
      <c r="V258" s="260">
        <v>-0.38</v>
      </c>
      <c r="W258" s="252">
        <v>-1</v>
      </c>
      <c r="X258" s="261">
        <v>1</v>
      </c>
      <c r="Y258" s="257">
        <f t="shared" si="17"/>
        <v>0.38</v>
      </c>
      <c r="Z258" s="397"/>
      <c r="AA258" s="397"/>
      <c r="AB258" s="324"/>
      <c r="AC258" s="266"/>
    </row>
    <row r="259" spans="1:35" ht="19" customHeight="1">
      <c r="A259" s="252" t="s">
        <v>932</v>
      </c>
      <c r="B259" s="252" t="s">
        <v>933</v>
      </c>
      <c r="C259" s="252">
        <v>2021</v>
      </c>
      <c r="E259" s="267">
        <v>40</v>
      </c>
      <c r="F259" s="252">
        <v>26</v>
      </c>
      <c r="G259" s="252">
        <v>6</v>
      </c>
      <c r="I259" s="259" t="s">
        <v>924</v>
      </c>
      <c r="L259" s="323" t="s">
        <v>934</v>
      </c>
      <c r="M259" s="252">
        <v>542</v>
      </c>
      <c r="N259" s="252">
        <v>352</v>
      </c>
      <c r="O259" s="252" t="s">
        <v>1042</v>
      </c>
      <c r="P259" s="245" t="s">
        <v>1032</v>
      </c>
      <c r="R259" s="252" t="s">
        <v>1043</v>
      </c>
      <c r="T259" s="252" t="s">
        <v>1044</v>
      </c>
      <c r="V259" s="260">
        <v>0.5</v>
      </c>
      <c r="W259" s="252">
        <v>1</v>
      </c>
      <c r="X259" s="261">
        <v>1</v>
      </c>
      <c r="Y259" s="262">
        <f t="shared" si="17"/>
        <v>0.5</v>
      </c>
    </row>
    <row r="260" spans="1:35" ht="20.25" customHeight="1">
      <c r="A260" s="252" t="s">
        <v>932</v>
      </c>
      <c r="B260" s="252" t="s">
        <v>933</v>
      </c>
      <c r="C260" s="252">
        <v>2021</v>
      </c>
      <c r="E260" s="267">
        <v>40</v>
      </c>
      <c r="F260" s="252">
        <v>26</v>
      </c>
      <c r="G260" s="252">
        <v>6</v>
      </c>
      <c r="I260" s="259" t="s">
        <v>924</v>
      </c>
      <c r="L260" s="323" t="s">
        <v>934</v>
      </c>
      <c r="M260" s="252">
        <v>542</v>
      </c>
      <c r="N260" s="252">
        <v>352</v>
      </c>
      <c r="O260" s="252" t="s">
        <v>1042</v>
      </c>
      <c r="P260" s="245" t="s">
        <v>1032</v>
      </c>
      <c r="R260" s="252" t="s">
        <v>1043</v>
      </c>
      <c r="T260" s="252" t="s">
        <v>1045</v>
      </c>
      <c r="V260" s="260">
        <v>0.48</v>
      </c>
      <c r="W260" s="252">
        <v>1</v>
      </c>
      <c r="X260" s="261">
        <v>1</v>
      </c>
      <c r="Y260" s="262">
        <f t="shared" si="17"/>
        <v>0.48</v>
      </c>
      <c r="AB260" s="324"/>
      <c r="AD260" s="332"/>
      <c r="AE260" s="292"/>
      <c r="AF260" s="292"/>
      <c r="AG260" s="292"/>
    </row>
    <row r="261" spans="1:35" ht="20.25" customHeight="1">
      <c r="I261" s="259"/>
      <c r="P261" s="245"/>
      <c r="X261" s="261"/>
      <c r="AB261" s="324"/>
      <c r="AD261" s="332"/>
      <c r="AE261" s="292"/>
      <c r="AF261" s="292"/>
      <c r="AG261" s="292"/>
    </row>
    <row r="262" spans="1:35" ht="20.25" customHeight="1">
      <c r="A262" s="252" t="s">
        <v>1144</v>
      </c>
      <c r="B262" s="259" t="s">
        <v>1325</v>
      </c>
      <c r="C262" s="259">
        <v>1997</v>
      </c>
      <c r="D262" s="259"/>
      <c r="E262" s="382">
        <v>15</v>
      </c>
      <c r="F262" s="252">
        <v>12.13</v>
      </c>
      <c r="G262" s="252">
        <v>1.21</v>
      </c>
      <c r="H262" s="259"/>
      <c r="I262" s="259" t="s">
        <v>924</v>
      </c>
      <c r="J262" s="32"/>
      <c r="K262" s="259"/>
      <c r="L262" s="328" t="s">
        <v>711</v>
      </c>
      <c r="M262" s="252">
        <v>547</v>
      </c>
      <c r="N262" s="252">
        <v>270</v>
      </c>
      <c r="O262" s="259" t="s">
        <v>24</v>
      </c>
      <c r="P262" s="245" t="s">
        <v>1032</v>
      </c>
      <c r="R262" s="259" t="s">
        <v>1331</v>
      </c>
      <c r="S262" s="259"/>
      <c r="T262" s="259"/>
      <c r="U262" s="259"/>
      <c r="V262" s="264">
        <v>-0.06</v>
      </c>
      <c r="W262" s="252">
        <v>1</v>
      </c>
      <c r="X262" s="261">
        <v>1</v>
      </c>
      <c r="Y262" s="262">
        <f>V262*W262</f>
        <v>-0.06</v>
      </c>
      <c r="AB262" s="324"/>
      <c r="AC262" s="266"/>
      <c r="AD262" s="328"/>
      <c r="AE262" s="259"/>
      <c r="AF262" s="259"/>
      <c r="AG262" s="259"/>
      <c r="AH262" s="259"/>
      <c r="AI262" s="259"/>
    </row>
    <row r="263" spans="1:35" ht="20.25" customHeight="1">
      <c r="A263" s="252" t="s">
        <v>1252</v>
      </c>
      <c r="B263" s="252" t="s">
        <v>1253</v>
      </c>
      <c r="C263" s="252">
        <v>2007</v>
      </c>
      <c r="E263" s="267">
        <v>15</v>
      </c>
      <c r="F263" s="252">
        <v>14.8</v>
      </c>
      <c r="G263" s="252">
        <v>3</v>
      </c>
      <c r="H263" s="270" t="s">
        <v>1229</v>
      </c>
      <c r="I263" s="259" t="s">
        <v>924</v>
      </c>
      <c r="L263" s="328" t="s">
        <v>711</v>
      </c>
      <c r="M263" s="259">
        <v>660</v>
      </c>
      <c r="N263" s="259">
        <f>(1730-222)/4</f>
        <v>377</v>
      </c>
      <c r="O263" s="252" t="s">
        <v>1230</v>
      </c>
      <c r="P263" s="245" t="s">
        <v>1032</v>
      </c>
      <c r="R263" s="252" t="s">
        <v>2276</v>
      </c>
      <c r="T263" s="252" t="s">
        <v>2277</v>
      </c>
      <c r="U263" s="32" t="s">
        <v>1251</v>
      </c>
      <c r="V263" s="260">
        <v>0.1</v>
      </c>
      <c r="W263" s="252">
        <v>1</v>
      </c>
      <c r="X263" s="261">
        <v>1</v>
      </c>
      <c r="Y263" s="257">
        <f>V263*W263</f>
        <v>0.1</v>
      </c>
      <c r="Z263" s="397"/>
      <c r="AA263" s="397"/>
      <c r="AB263" s="324"/>
      <c r="AC263" s="266"/>
    </row>
    <row r="264" spans="1:35" ht="20.25" customHeight="1">
      <c r="A264" s="252" t="s">
        <v>1252</v>
      </c>
      <c r="B264" s="252" t="s">
        <v>1253</v>
      </c>
      <c r="C264" s="252">
        <v>2007</v>
      </c>
      <c r="E264" s="267">
        <v>15</v>
      </c>
      <c r="F264" s="252">
        <v>14.8</v>
      </c>
      <c r="G264" s="252">
        <v>3</v>
      </c>
      <c r="H264" s="270" t="s">
        <v>1229</v>
      </c>
      <c r="I264" s="259" t="s">
        <v>924</v>
      </c>
      <c r="L264" s="328" t="s">
        <v>711</v>
      </c>
      <c r="M264" s="259">
        <v>660</v>
      </c>
      <c r="N264" s="259">
        <f>(1730-222)/4</f>
        <v>377</v>
      </c>
      <c r="O264" s="252" t="s">
        <v>1230</v>
      </c>
      <c r="P264" s="245" t="s">
        <v>1032</v>
      </c>
      <c r="R264" s="252" t="s">
        <v>2276</v>
      </c>
      <c r="T264" s="252" t="s">
        <v>2278</v>
      </c>
      <c r="U264" s="32" t="s">
        <v>1251</v>
      </c>
      <c r="V264" s="260">
        <v>0.17</v>
      </c>
      <c r="W264" s="252">
        <v>1</v>
      </c>
      <c r="X264" s="261">
        <v>1</v>
      </c>
      <c r="Y264" s="257">
        <f>V264*W264</f>
        <v>0.17</v>
      </c>
      <c r="Z264" s="397"/>
      <c r="AA264" s="397"/>
      <c r="AB264" s="324"/>
      <c r="AC264" s="266"/>
    </row>
    <row r="265" spans="1:35" ht="20.25" customHeight="1">
      <c r="H265" s="270"/>
      <c r="I265" s="259"/>
      <c r="L265" s="328"/>
      <c r="M265" s="259"/>
      <c r="N265" s="259"/>
      <c r="P265" s="245"/>
      <c r="U265" s="32"/>
      <c r="X265" s="261"/>
      <c r="Y265" s="257"/>
      <c r="Z265" s="397"/>
      <c r="AA265" s="397"/>
      <c r="AB265" s="324"/>
      <c r="AC265" s="266"/>
    </row>
    <row r="266" spans="1:35" ht="20.25" customHeight="1">
      <c r="A266" s="252" t="s">
        <v>1757</v>
      </c>
      <c r="B266" s="252" t="s">
        <v>290</v>
      </c>
      <c r="C266" s="252">
        <v>2001</v>
      </c>
      <c r="E266" s="267">
        <v>18</v>
      </c>
      <c r="F266" s="252">
        <v>17.88</v>
      </c>
      <c r="G266" s="259">
        <v>2.74</v>
      </c>
      <c r="H266" s="259" t="s">
        <v>1141</v>
      </c>
      <c r="I266" s="259" t="s">
        <v>924</v>
      </c>
      <c r="L266" s="328" t="s">
        <v>711</v>
      </c>
      <c r="M266" s="252" t="s">
        <v>1149</v>
      </c>
      <c r="N266" s="252" t="s">
        <v>1149</v>
      </c>
      <c r="O266" s="252" t="s">
        <v>24</v>
      </c>
      <c r="P266" s="245" t="s">
        <v>1032</v>
      </c>
      <c r="R266" s="252" t="s">
        <v>1120</v>
      </c>
      <c r="T266" s="252" t="s">
        <v>307</v>
      </c>
      <c r="V266" s="260">
        <v>0.09</v>
      </c>
      <c r="W266" s="252">
        <v>1</v>
      </c>
      <c r="X266" s="261">
        <v>1</v>
      </c>
      <c r="Y266" s="257">
        <f>V266*W266</f>
        <v>0.09</v>
      </c>
      <c r="Z266" s="397"/>
      <c r="AA266" s="397"/>
    </row>
    <row r="267" spans="1:35" ht="20.25" customHeight="1">
      <c r="A267" s="252" t="s">
        <v>1757</v>
      </c>
      <c r="B267" s="252" t="s">
        <v>290</v>
      </c>
      <c r="C267" s="252">
        <v>2001</v>
      </c>
      <c r="E267" s="267">
        <v>18</v>
      </c>
      <c r="F267" s="252">
        <v>17.88</v>
      </c>
      <c r="G267" s="259">
        <v>2.74</v>
      </c>
      <c r="H267" s="259" t="s">
        <v>1150</v>
      </c>
      <c r="I267" s="259" t="s">
        <v>924</v>
      </c>
      <c r="L267" s="328" t="s">
        <v>711</v>
      </c>
      <c r="M267" s="252" t="s">
        <v>1149</v>
      </c>
      <c r="N267" s="252" t="s">
        <v>1149</v>
      </c>
      <c r="O267" s="252" t="s">
        <v>24</v>
      </c>
      <c r="P267" s="245" t="s">
        <v>1032</v>
      </c>
      <c r="R267" s="252" t="s">
        <v>1120</v>
      </c>
      <c r="T267" s="252" t="s">
        <v>308</v>
      </c>
      <c r="V267" s="260">
        <v>0.41</v>
      </c>
      <c r="W267" s="252">
        <v>1</v>
      </c>
      <c r="X267" s="261">
        <v>1</v>
      </c>
      <c r="Y267" s="257">
        <f>V267*W267</f>
        <v>0.41</v>
      </c>
      <c r="Z267" s="397"/>
      <c r="AA267" s="397"/>
      <c r="AB267" s="323"/>
    </row>
    <row r="269" spans="1:35" ht="19" customHeight="1">
      <c r="A269" s="295"/>
      <c r="B269" s="320" t="s">
        <v>2303</v>
      </c>
      <c r="P269" s="320"/>
      <c r="Q269" s="295"/>
      <c r="R269" s="295"/>
      <c r="S269" s="296"/>
      <c r="T269" s="295"/>
      <c r="U269" s="295"/>
      <c r="W269" s="261"/>
      <c r="X269" s="261"/>
      <c r="AB269" s="324"/>
      <c r="AC269" s="266"/>
    </row>
    <row r="270" spans="1:35" ht="20.25" customHeight="1">
      <c r="A270" s="252" t="s">
        <v>1144</v>
      </c>
      <c r="B270" s="259" t="s">
        <v>1325</v>
      </c>
      <c r="C270" s="259">
        <v>1997</v>
      </c>
      <c r="D270" s="259"/>
      <c r="E270" s="382">
        <v>15</v>
      </c>
      <c r="F270" s="252">
        <v>12.13</v>
      </c>
      <c r="G270" s="252">
        <v>1.21</v>
      </c>
      <c r="H270" s="259"/>
      <c r="I270" s="259" t="s">
        <v>924</v>
      </c>
      <c r="J270" s="32"/>
      <c r="K270" s="259"/>
      <c r="L270" s="328" t="s">
        <v>711</v>
      </c>
      <c r="M270" s="252">
        <v>547</v>
      </c>
      <c r="N270" s="252">
        <v>270</v>
      </c>
      <c r="O270" s="259" t="s">
        <v>24</v>
      </c>
      <c r="P270" s="245"/>
      <c r="R270" s="259" t="s">
        <v>1334</v>
      </c>
      <c r="S270" s="259"/>
      <c r="T270" s="259" t="s">
        <v>1387</v>
      </c>
      <c r="U270" s="259"/>
      <c r="V270" s="264">
        <v>-0.18</v>
      </c>
      <c r="W270" s="259"/>
      <c r="X270" s="261">
        <v>0</v>
      </c>
      <c r="AB270" s="324"/>
      <c r="AC270" s="266"/>
      <c r="AD270" s="328"/>
      <c r="AE270" s="259"/>
      <c r="AF270" s="259"/>
      <c r="AG270" s="259"/>
      <c r="AH270" s="259"/>
      <c r="AI270" s="259"/>
    </row>
    <row r="271" spans="1:35" ht="19" customHeight="1">
      <c r="A271" s="252" t="s">
        <v>1144</v>
      </c>
      <c r="B271" s="252" t="s">
        <v>1615</v>
      </c>
      <c r="C271" s="252">
        <v>2010</v>
      </c>
      <c r="E271" s="383"/>
      <c r="F271" s="321"/>
      <c r="G271" s="321"/>
      <c r="H271" s="321"/>
      <c r="I271" s="321"/>
      <c r="L271" s="328" t="s">
        <v>711</v>
      </c>
      <c r="P271" s="319" t="s">
        <v>1347</v>
      </c>
      <c r="R271" s="252" t="s">
        <v>1348</v>
      </c>
      <c r="V271" s="260">
        <v>0.161</v>
      </c>
      <c r="X271" s="261">
        <v>0</v>
      </c>
    </row>
    <row r="272" spans="1:35" ht="19" customHeight="1">
      <c r="A272" s="252" t="s">
        <v>1144</v>
      </c>
      <c r="B272" s="252" t="s">
        <v>1615</v>
      </c>
      <c r="C272" s="252">
        <v>2010</v>
      </c>
      <c r="E272" s="383"/>
      <c r="F272" s="321"/>
      <c r="G272" s="321"/>
      <c r="H272" s="321"/>
      <c r="I272" s="321"/>
      <c r="L272" s="328" t="s">
        <v>711</v>
      </c>
      <c r="P272" s="319" t="s">
        <v>1347</v>
      </c>
      <c r="R272" s="252" t="s">
        <v>1350</v>
      </c>
      <c r="V272" s="260">
        <v>0.161</v>
      </c>
      <c r="X272" s="261">
        <v>0</v>
      </c>
    </row>
    <row r="273" spans="1:37" ht="19" customHeight="1">
      <c r="A273" s="252" t="s">
        <v>1144</v>
      </c>
      <c r="B273" s="252" t="s">
        <v>1615</v>
      </c>
      <c r="C273" s="252">
        <v>2010</v>
      </c>
      <c r="E273" s="383"/>
      <c r="F273" s="321"/>
      <c r="G273" s="321"/>
      <c r="H273" s="321"/>
      <c r="I273" s="321"/>
      <c r="L273" s="328" t="s">
        <v>711</v>
      </c>
      <c r="P273" s="319" t="s">
        <v>1347</v>
      </c>
      <c r="R273" s="252" t="s">
        <v>1349</v>
      </c>
      <c r="V273" s="260">
        <v>0.14299999999999999</v>
      </c>
      <c r="X273" s="261">
        <v>0</v>
      </c>
    </row>
    <row r="274" spans="1:37" ht="19" customHeight="1">
      <c r="B274" s="259"/>
      <c r="C274" s="259"/>
      <c r="D274" s="259"/>
      <c r="E274" s="382"/>
      <c r="F274" s="259"/>
      <c r="G274" s="259"/>
      <c r="H274" s="259"/>
      <c r="I274" s="259"/>
      <c r="J274" s="32"/>
      <c r="K274" s="259"/>
      <c r="L274" s="328"/>
      <c r="M274" s="259"/>
      <c r="N274" s="259"/>
      <c r="O274" s="259"/>
      <c r="P274" s="245"/>
      <c r="Q274" s="259"/>
      <c r="R274" s="259"/>
      <c r="S274" s="259"/>
      <c r="T274" s="259"/>
      <c r="U274" s="259"/>
      <c r="X274" s="261">
        <v>0</v>
      </c>
      <c r="AH274" s="245"/>
      <c r="AI274" s="245"/>
    </row>
    <row r="275" spans="1:37" ht="19" customHeight="1">
      <c r="B275" s="259"/>
      <c r="C275" s="259"/>
      <c r="D275" s="259"/>
      <c r="E275" s="382"/>
      <c r="F275" s="259"/>
      <c r="G275" s="259"/>
      <c r="H275" s="259"/>
      <c r="I275" s="259"/>
      <c r="J275" s="32"/>
      <c r="K275" s="259"/>
      <c r="L275" s="328"/>
      <c r="M275" s="259"/>
      <c r="N275" s="259"/>
      <c r="O275" s="259"/>
      <c r="P275" s="245"/>
      <c r="Q275" s="259"/>
      <c r="R275" s="259"/>
      <c r="S275" s="259"/>
      <c r="T275" s="259"/>
      <c r="U275" s="259"/>
      <c r="X275" s="261">
        <v>0</v>
      </c>
      <c r="AH275" s="245"/>
      <c r="AI275" s="245"/>
    </row>
    <row r="276" spans="1:37" ht="19" customHeight="1">
      <c r="B276" s="319" t="s">
        <v>2301</v>
      </c>
      <c r="X276" s="261">
        <v>0</v>
      </c>
    </row>
    <row r="277" spans="1:37" ht="19" customHeight="1">
      <c r="X277" s="261">
        <v>0</v>
      </c>
    </row>
    <row r="278" spans="1:37" ht="19" customHeight="1">
      <c r="A278" s="281" t="s">
        <v>1144</v>
      </c>
      <c r="B278" s="299" t="s">
        <v>1832</v>
      </c>
      <c r="C278" s="299">
        <v>2017</v>
      </c>
      <c r="D278" s="281" t="s">
        <v>1833</v>
      </c>
      <c r="E278" s="384">
        <v>32</v>
      </c>
      <c r="F278" s="281" t="s">
        <v>1834</v>
      </c>
      <c r="G278" s="281"/>
      <c r="H278" s="310" t="s">
        <v>1835</v>
      </c>
      <c r="I278" s="303" t="s">
        <v>924</v>
      </c>
      <c r="J278" s="281"/>
      <c r="K278" s="281" t="s">
        <v>1759</v>
      </c>
      <c r="L278" s="379" t="s">
        <v>2256</v>
      </c>
      <c r="M278" s="304">
        <v>432</v>
      </c>
      <c r="N278" s="281" t="s">
        <v>1836</v>
      </c>
      <c r="O278" s="281"/>
      <c r="P278" s="395" t="s">
        <v>188</v>
      </c>
      <c r="Q278" s="281"/>
      <c r="R278" s="281" t="s">
        <v>1366</v>
      </c>
      <c r="S278" s="305"/>
      <c r="T278" s="281"/>
      <c r="U278" s="281" t="s">
        <v>1837</v>
      </c>
      <c r="V278" s="311">
        <v>-0.47</v>
      </c>
      <c r="W278" s="281">
        <v>-1</v>
      </c>
      <c r="X278" s="307">
        <v>0</v>
      </c>
      <c r="Y278" s="308">
        <f>V278*W278</f>
        <v>0.47</v>
      </c>
      <c r="Z278" s="397"/>
      <c r="AA278" s="397"/>
      <c r="AB278" s="324"/>
      <c r="AC278" s="252"/>
    </row>
    <row r="279" spans="1:37" ht="19" customHeight="1">
      <c r="A279" s="281" t="s">
        <v>1757</v>
      </c>
      <c r="B279" s="298" t="s">
        <v>2156</v>
      </c>
      <c r="C279" s="281">
        <v>2011</v>
      </c>
      <c r="D279" s="300" t="s">
        <v>2260</v>
      </c>
      <c r="E279" s="301">
        <v>92</v>
      </c>
      <c r="F279" s="306">
        <v>11</v>
      </c>
      <c r="G279" s="281" t="s">
        <v>24</v>
      </c>
      <c r="H279" s="300" t="s">
        <v>2199</v>
      </c>
      <c r="I279" s="303" t="s">
        <v>67</v>
      </c>
      <c r="J279" s="281"/>
      <c r="K279" s="281" t="s">
        <v>24</v>
      </c>
      <c r="L279" s="379" t="s">
        <v>2203</v>
      </c>
      <c r="M279" s="312">
        <v>348</v>
      </c>
      <c r="N279" s="281" t="s">
        <v>24</v>
      </c>
      <c r="O279" s="281" t="s">
        <v>2212</v>
      </c>
      <c r="P279" s="395" t="s">
        <v>188</v>
      </c>
      <c r="Q279" s="281"/>
      <c r="R279" s="305" t="s">
        <v>2214</v>
      </c>
      <c r="S279" s="305"/>
      <c r="T279" s="281"/>
      <c r="U279" s="281"/>
      <c r="V279" s="313">
        <v>-0.47799999999999998</v>
      </c>
      <c r="W279" s="281">
        <v>-1</v>
      </c>
      <c r="X279" s="307">
        <v>0</v>
      </c>
      <c r="Y279" s="308"/>
      <c r="Z279" s="397"/>
      <c r="AA279" s="397"/>
      <c r="AB279" s="324"/>
      <c r="AC279" s="266"/>
    </row>
    <row r="280" spans="1:37" ht="19" customHeight="1">
      <c r="A280" s="281" t="s">
        <v>1144</v>
      </c>
      <c r="B280" s="298" t="s">
        <v>2194</v>
      </c>
      <c r="C280" s="299">
        <v>2011</v>
      </c>
      <c r="D280" s="300" t="s">
        <v>2228</v>
      </c>
      <c r="E280" s="301">
        <v>55</v>
      </c>
      <c r="F280" s="281">
        <v>11.04</v>
      </c>
      <c r="G280" s="301">
        <v>4.59</v>
      </c>
      <c r="H280" s="302" t="s">
        <v>2259</v>
      </c>
      <c r="I280" s="303" t="s">
        <v>924</v>
      </c>
      <c r="J280" s="281"/>
      <c r="K280" s="281" t="s">
        <v>1759</v>
      </c>
      <c r="L280" s="380" t="s">
        <v>711</v>
      </c>
      <c r="M280" s="304">
        <v>592</v>
      </c>
      <c r="N280" s="281">
        <v>355</v>
      </c>
      <c r="O280" s="281" t="s">
        <v>2090</v>
      </c>
      <c r="P280" s="395" t="s">
        <v>188</v>
      </c>
      <c r="Q280" s="281"/>
      <c r="R280" s="281" t="s">
        <v>2216</v>
      </c>
      <c r="S280" s="305"/>
      <c r="T280" s="281"/>
      <c r="U280" s="281"/>
      <c r="V280" s="306">
        <v>-9.8000000000000004E-2</v>
      </c>
      <c r="W280" s="281">
        <v>-1</v>
      </c>
      <c r="X280" s="307">
        <v>0</v>
      </c>
      <c r="Y280" s="308">
        <f>V280*W280</f>
        <v>9.8000000000000004E-2</v>
      </c>
      <c r="Z280" s="397"/>
      <c r="AA280" s="397"/>
      <c r="AB280" s="323"/>
      <c r="AC280" s="252"/>
    </row>
    <row r="281" spans="1:37" ht="19" customHeight="1">
      <c r="A281" s="281" t="s">
        <v>1144</v>
      </c>
      <c r="B281" s="298" t="s">
        <v>2195</v>
      </c>
      <c r="C281" s="299">
        <v>1997</v>
      </c>
      <c r="D281" s="300" t="s">
        <v>2260</v>
      </c>
      <c r="E281" s="301">
        <v>37</v>
      </c>
      <c r="F281" s="281" t="s">
        <v>24</v>
      </c>
      <c r="G281" s="281" t="s">
        <v>24</v>
      </c>
      <c r="H281" s="309" t="s">
        <v>2207</v>
      </c>
      <c r="I281" s="303" t="s">
        <v>924</v>
      </c>
      <c r="J281" s="281"/>
      <c r="K281" s="281" t="s">
        <v>1759</v>
      </c>
      <c r="L281" s="380" t="s">
        <v>711</v>
      </c>
      <c r="M281" s="304">
        <v>441.9</v>
      </c>
      <c r="N281" s="304" t="s">
        <v>24</v>
      </c>
      <c r="O281" s="281" t="s">
        <v>24</v>
      </c>
      <c r="P281" s="395" t="s">
        <v>188</v>
      </c>
      <c r="Q281" s="281"/>
      <c r="R281" s="281" t="s">
        <v>2211</v>
      </c>
      <c r="S281" s="305"/>
      <c r="T281" s="281"/>
      <c r="U281" s="281"/>
      <c r="V281" s="306">
        <v>-0.54</v>
      </c>
      <c r="W281" s="281">
        <v>-1</v>
      </c>
      <c r="X281" s="307">
        <v>0</v>
      </c>
      <c r="Y281" s="308">
        <f>V281*W281</f>
        <v>0.54</v>
      </c>
      <c r="Z281" s="397"/>
      <c r="AA281" s="397"/>
      <c r="AB281" s="323"/>
      <c r="AC281" s="252"/>
    </row>
    <row r="283" spans="1:37" ht="19" customHeight="1">
      <c r="A283" s="252" t="s">
        <v>1144</v>
      </c>
      <c r="B283" s="252" t="s">
        <v>1607</v>
      </c>
      <c r="C283" s="252">
        <v>2014</v>
      </c>
      <c r="E283" s="267">
        <v>19</v>
      </c>
      <c r="F283" s="252">
        <v>14</v>
      </c>
      <c r="G283" s="252">
        <f>(18-10)/4</f>
        <v>2</v>
      </c>
      <c r="H283" s="270" t="s">
        <v>763</v>
      </c>
      <c r="I283" s="259" t="s">
        <v>924</v>
      </c>
      <c r="K283" s="252" t="s">
        <v>1759</v>
      </c>
      <c r="L283" s="323" t="s">
        <v>2258</v>
      </c>
      <c r="M283" s="283">
        <v>550.5</v>
      </c>
      <c r="N283" s="252">
        <v>260</v>
      </c>
      <c r="O283" s="252" t="s">
        <v>1960</v>
      </c>
      <c r="P283" s="319" t="s">
        <v>188</v>
      </c>
      <c r="R283" s="252" t="s">
        <v>1178</v>
      </c>
      <c r="V283" s="282">
        <v>-0.23</v>
      </c>
      <c r="W283" s="252">
        <v>-1</v>
      </c>
      <c r="X283" s="277">
        <v>0</v>
      </c>
      <c r="Y283" s="284">
        <f>V283*W283</f>
        <v>0.23</v>
      </c>
      <c r="Z283" s="397"/>
      <c r="AA283" s="397"/>
      <c r="AB283" s="324"/>
      <c r="AC283" s="266" t="s">
        <v>1374</v>
      </c>
      <c r="AD283" s="323" t="s">
        <v>1179</v>
      </c>
    </row>
    <row r="285" spans="1:37" ht="19" customHeight="1">
      <c r="A285" s="252" t="s">
        <v>925</v>
      </c>
      <c r="B285" s="259" t="s">
        <v>1611</v>
      </c>
      <c r="C285" s="259">
        <v>2021</v>
      </c>
      <c r="D285" s="183" t="s">
        <v>2300</v>
      </c>
      <c r="E285" s="382">
        <v>18</v>
      </c>
      <c r="F285" s="259">
        <v>41</v>
      </c>
      <c r="G285" s="259">
        <f t="shared" ref="G285:G295" si="18">(45-30)/4</f>
        <v>3.75</v>
      </c>
      <c r="H285" s="259" t="s">
        <v>963</v>
      </c>
      <c r="I285" s="259" t="s">
        <v>924</v>
      </c>
      <c r="J285" s="32"/>
      <c r="K285" s="259" t="s">
        <v>964</v>
      </c>
      <c r="L285" s="328" t="s">
        <v>711</v>
      </c>
      <c r="M285" s="259">
        <v>873</v>
      </c>
      <c r="N285" s="252">
        <f>(1115-644)/4</f>
        <v>117.75</v>
      </c>
      <c r="O285" s="259" t="s">
        <v>1088</v>
      </c>
      <c r="P285" s="319" t="s">
        <v>977</v>
      </c>
      <c r="Q285" s="259"/>
      <c r="R285" s="259" t="s">
        <v>1587</v>
      </c>
      <c r="S285" s="259" t="s">
        <v>1585</v>
      </c>
      <c r="T285" s="259"/>
      <c r="W285" s="259"/>
      <c r="X285" s="261">
        <v>0</v>
      </c>
      <c r="Y285" s="316" t="s">
        <v>2295</v>
      </c>
      <c r="Z285" s="400"/>
      <c r="AA285" s="400"/>
      <c r="AC285" s="261">
        <v>1</v>
      </c>
      <c r="AD285" s="322"/>
      <c r="AE285" s="266"/>
      <c r="AF285" s="259"/>
      <c r="AG285" s="259"/>
      <c r="AH285" s="259"/>
      <c r="AI285" s="259"/>
      <c r="AJ285" s="245"/>
      <c r="AK285" s="245"/>
    </row>
    <row r="286" spans="1:37" ht="19" customHeight="1">
      <c r="A286" s="252" t="s">
        <v>925</v>
      </c>
      <c r="B286" s="259" t="s">
        <v>1611</v>
      </c>
      <c r="C286" s="259">
        <v>2021</v>
      </c>
      <c r="D286" s="183" t="s">
        <v>2300</v>
      </c>
      <c r="E286" s="382">
        <v>18</v>
      </c>
      <c r="F286" s="259">
        <v>41</v>
      </c>
      <c r="G286" s="259">
        <f t="shared" si="18"/>
        <v>3.75</v>
      </c>
      <c r="H286" s="259" t="s">
        <v>963</v>
      </c>
      <c r="I286" s="259" t="s">
        <v>924</v>
      </c>
      <c r="J286" s="32"/>
      <c r="K286" s="259" t="s">
        <v>964</v>
      </c>
      <c r="L286" s="328" t="s">
        <v>711</v>
      </c>
      <c r="M286" s="259">
        <v>873</v>
      </c>
      <c r="N286" s="252">
        <f>(1115-644)/4</f>
        <v>117.75</v>
      </c>
      <c r="O286" s="259" t="s">
        <v>1088</v>
      </c>
      <c r="P286" s="319" t="s">
        <v>977</v>
      </c>
      <c r="Q286" s="259"/>
      <c r="R286" s="259" t="s">
        <v>1587</v>
      </c>
      <c r="S286" s="259" t="s">
        <v>1586</v>
      </c>
      <c r="T286" s="259"/>
      <c r="W286" s="259"/>
      <c r="X286" s="261">
        <v>0</v>
      </c>
      <c r="Y286" s="316" t="s">
        <v>2295</v>
      </c>
      <c r="Z286" s="400"/>
      <c r="AA286" s="400"/>
      <c r="AC286" s="261">
        <v>1</v>
      </c>
      <c r="AD286" s="322"/>
      <c r="AE286" s="266"/>
      <c r="AF286" s="259"/>
      <c r="AG286" s="259"/>
      <c r="AH286" s="259"/>
      <c r="AI286" s="259"/>
      <c r="AJ286" s="245"/>
      <c r="AK286" s="245"/>
    </row>
    <row r="287" spans="1:37" ht="19" customHeight="1">
      <c r="A287" s="252" t="s">
        <v>925</v>
      </c>
      <c r="B287" s="259" t="s">
        <v>1611</v>
      </c>
      <c r="C287" s="259">
        <v>2021</v>
      </c>
      <c r="D287" s="183" t="s">
        <v>2300</v>
      </c>
      <c r="E287" s="382">
        <v>18</v>
      </c>
      <c r="F287" s="259">
        <v>41</v>
      </c>
      <c r="G287" s="259">
        <f t="shared" si="18"/>
        <v>3.75</v>
      </c>
      <c r="H287" s="259" t="s">
        <v>963</v>
      </c>
      <c r="I287" s="259" t="s">
        <v>924</v>
      </c>
      <c r="J287" s="32"/>
      <c r="K287" s="259" t="s">
        <v>964</v>
      </c>
      <c r="L287" s="328" t="s">
        <v>965</v>
      </c>
      <c r="M287" s="259">
        <v>873</v>
      </c>
      <c r="N287" s="252">
        <f>(1115-644)/4</f>
        <v>117.75</v>
      </c>
      <c r="O287" s="259" t="s">
        <v>1088</v>
      </c>
      <c r="P287" s="319" t="s">
        <v>977</v>
      </c>
      <c r="R287" s="259" t="s">
        <v>2246</v>
      </c>
      <c r="S287" s="259"/>
      <c r="T287" s="259" t="s">
        <v>997</v>
      </c>
      <c r="U287" s="259"/>
      <c r="V287" s="264">
        <v>0.47199999999999998</v>
      </c>
      <c r="W287" s="252">
        <v>1</v>
      </c>
      <c r="X287" s="261">
        <v>0</v>
      </c>
      <c r="Y287" s="257"/>
      <c r="Z287" s="397"/>
      <c r="AA287" s="397"/>
      <c r="AB287" s="324"/>
      <c r="AC287" s="266"/>
      <c r="AD287" s="328"/>
      <c r="AE287" s="259"/>
      <c r="AF287" s="259"/>
      <c r="AG287" s="259"/>
      <c r="AH287" s="245" t="s">
        <v>996</v>
      </c>
      <c r="AI287" s="245"/>
    </row>
    <row r="288" spans="1:37" ht="19" customHeight="1">
      <c r="A288" s="252" t="s">
        <v>925</v>
      </c>
      <c r="B288" s="259" t="s">
        <v>1611</v>
      </c>
      <c r="C288" s="259">
        <v>2021</v>
      </c>
      <c r="D288" s="183" t="s">
        <v>2300</v>
      </c>
      <c r="E288" s="382">
        <v>18</v>
      </c>
      <c r="F288" s="259">
        <v>41</v>
      </c>
      <c r="G288" s="259">
        <f t="shared" si="18"/>
        <v>3.75</v>
      </c>
      <c r="H288" s="259" t="s">
        <v>963</v>
      </c>
      <c r="I288" s="259" t="s">
        <v>924</v>
      </c>
      <c r="J288" s="32"/>
      <c r="K288" s="259" t="s">
        <v>964</v>
      </c>
      <c r="L288" s="328" t="s">
        <v>711</v>
      </c>
      <c r="M288" s="259" t="s">
        <v>966</v>
      </c>
      <c r="N288" s="259">
        <v>118</v>
      </c>
      <c r="O288" s="259" t="s">
        <v>2290</v>
      </c>
      <c r="P288" s="319" t="s">
        <v>1368</v>
      </c>
      <c r="R288" s="252" t="s">
        <v>203</v>
      </c>
      <c r="S288" s="259" t="s">
        <v>968</v>
      </c>
      <c r="T288" s="259"/>
      <c r="U288" s="259" t="s">
        <v>967</v>
      </c>
      <c r="V288" s="252"/>
      <c r="W288" s="259"/>
      <c r="X288" s="261">
        <v>0</v>
      </c>
      <c r="Y288" s="315" t="s">
        <v>2295</v>
      </c>
      <c r="Z288" s="400"/>
      <c r="AA288" s="400"/>
      <c r="AB288" s="324"/>
      <c r="AC288" s="266"/>
      <c r="AD288" s="328"/>
      <c r="AE288" s="259"/>
      <c r="AF288" s="259"/>
      <c r="AG288" s="259"/>
      <c r="AH288" s="245"/>
      <c r="AI288" s="245"/>
    </row>
    <row r="289" spans="1:35" ht="19" customHeight="1">
      <c r="A289" s="252" t="s">
        <v>925</v>
      </c>
      <c r="B289" s="259" t="s">
        <v>1611</v>
      </c>
      <c r="C289" s="259">
        <v>2021</v>
      </c>
      <c r="D289" s="183" t="s">
        <v>2300</v>
      </c>
      <c r="E289" s="382">
        <v>18</v>
      </c>
      <c r="F289" s="259">
        <v>41</v>
      </c>
      <c r="G289" s="259">
        <f t="shared" si="18"/>
        <v>3.75</v>
      </c>
      <c r="H289" s="259" t="s">
        <v>963</v>
      </c>
      <c r="I289" s="259" t="s">
        <v>924</v>
      </c>
      <c r="J289" s="32"/>
      <c r="K289" s="259" t="s">
        <v>964</v>
      </c>
      <c r="L289" s="328" t="s">
        <v>965</v>
      </c>
      <c r="M289" s="259">
        <v>873</v>
      </c>
      <c r="N289" s="252">
        <f t="shared" ref="N289:N295" si="19">(1115-644)/4</f>
        <v>117.75</v>
      </c>
      <c r="O289" s="259" t="s">
        <v>1088</v>
      </c>
      <c r="P289" s="245" t="s">
        <v>1169</v>
      </c>
      <c r="Q289" s="259"/>
      <c r="R289" s="252" t="s">
        <v>1262</v>
      </c>
      <c r="S289" s="259" t="s">
        <v>165</v>
      </c>
      <c r="T289" s="259"/>
      <c r="U289" s="259" t="s">
        <v>967</v>
      </c>
      <c r="V289" s="252"/>
      <c r="W289" s="259"/>
      <c r="X289" s="261">
        <v>0</v>
      </c>
      <c r="Y289" s="315" t="s">
        <v>2295</v>
      </c>
      <c r="Z289" s="400"/>
      <c r="AA289" s="400"/>
      <c r="AB289" s="324"/>
      <c r="AC289" s="266"/>
      <c r="AD289" s="328"/>
      <c r="AE289" s="259"/>
      <c r="AF289" s="259"/>
      <c r="AG289" s="259"/>
      <c r="AH289" s="245"/>
      <c r="AI289" s="245"/>
    </row>
    <row r="290" spans="1:35" ht="19" customHeight="1">
      <c r="A290" s="252" t="s">
        <v>925</v>
      </c>
      <c r="B290" s="259" t="s">
        <v>1611</v>
      </c>
      <c r="C290" s="259">
        <v>2021</v>
      </c>
      <c r="D290" s="183" t="s">
        <v>2300</v>
      </c>
      <c r="E290" s="382">
        <v>18</v>
      </c>
      <c r="F290" s="259">
        <v>41</v>
      </c>
      <c r="G290" s="259">
        <f t="shared" si="18"/>
        <v>3.75</v>
      </c>
      <c r="H290" s="259" t="s">
        <v>963</v>
      </c>
      <c r="I290" s="259" t="s">
        <v>924</v>
      </c>
      <c r="J290" s="32"/>
      <c r="K290" s="259" t="s">
        <v>964</v>
      </c>
      <c r="L290" s="328" t="s">
        <v>965</v>
      </c>
      <c r="M290" s="259">
        <v>873</v>
      </c>
      <c r="N290" s="252">
        <f t="shared" si="19"/>
        <v>117.75</v>
      </c>
      <c r="O290" s="259" t="s">
        <v>1088</v>
      </c>
      <c r="P290" s="245" t="s">
        <v>1169</v>
      </c>
      <c r="Q290" s="259"/>
      <c r="R290" s="259" t="s">
        <v>164</v>
      </c>
      <c r="S290" s="259"/>
      <c r="T290" s="259"/>
      <c r="U290" s="259" t="s">
        <v>967</v>
      </c>
      <c r="V290" s="264">
        <v>0.66</v>
      </c>
      <c r="W290" s="259">
        <v>1</v>
      </c>
      <c r="X290" s="261">
        <v>0</v>
      </c>
      <c r="Y290" s="257"/>
      <c r="Z290" s="397"/>
      <c r="AA290" s="397"/>
      <c r="AB290" s="324"/>
      <c r="AC290" s="266"/>
      <c r="AD290" s="328"/>
      <c r="AE290" s="259"/>
      <c r="AF290" s="259"/>
      <c r="AG290" s="259"/>
      <c r="AH290" s="245"/>
      <c r="AI290" s="245"/>
    </row>
    <row r="291" spans="1:35" ht="19" customHeight="1">
      <c r="A291" s="252" t="s">
        <v>925</v>
      </c>
      <c r="B291" s="259" t="s">
        <v>1611</v>
      </c>
      <c r="C291" s="259">
        <v>2021</v>
      </c>
      <c r="D291" s="183" t="s">
        <v>2300</v>
      </c>
      <c r="E291" s="382">
        <v>18</v>
      </c>
      <c r="F291" s="259">
        <v>41</v>
      </c>
      <c r="G291" s="259">
        <f t="shared" si="18"/>
        <v>3.75</v>
      </c>
      <c r="H291" s="259" t="s">
        <v>963</v>
      </c>
      <c r="I291" s="259" t="s">
        <v>924</v>
      </c>
      <c r="J291" s="32"/>
      <c r="K291" s="259" t="s">
        <v>964</v>
      </c>
      <c r="L291" s="328" t="s">
        <v>711</v>
      </c>
      <c r="M291" s="259">
        <v>873</v>
      </c>
      <c r="N291" s="252">
        <f t="shared" si="19"/>
        <v>117.75</v>
      </c>
      <c r="O291" s="259" t="s">
        <v>1088</v>
      </c>
      <c r="P291" s="289" t="s">
        <v>70</v>
      </c>
      <c r="Q291" s="259"/>
      <c r="R291" s="32" t="s">
        <v>730</v>
      </c>
      <c r="T291" s="32"/>
      <c r="U291" s="259" t="s">
        <v>967</v>
      </c>
      <c r="V291" s="252"/>
      <c r="W291" s="259"/>
      <c r="X291" s="261">
        <v>0</v>
      </c>
      <c r="Y291" s="318" t="s">
        <v>2295</v>
      </c>
      <c r="Z291" s="401"/>
      <c r="AA291" s="401"/>
      <c r="AB291" s="324"/>
      <c r="AC291" s="266"/>
      <c r="AD291" s="328"/>
      <c r="AE291" s="259"/>
      <c r="AF291" s="259"/>
      <c r="AG291" s="259"/>
      <c r="AH291" s="245"/>
      <c r="AI291" s="245"/>
    </row>
    <row r="292" spans="1:35" ht="19" customHeight="1">
      <c r="A292" s="252" t="s">
        <v>925</v>
      </c>
      <c r="B292" s="259" t="s">
        <v>1611</v>
      </c>
      <c r="C292" s="259">
        <v>2021</v>
      </c>
      <c r="D292" s="183" t="s">
        <v>2300</v>
      </c>
      <c r="E292" s="382">
        <v>18</v>
      </c>
      <c r="F292" s="259">
        <v>41</v>
      </c>
      <c r="G292" s="259">
        <f t="shared" si="18"/>
        <v>3.75</v>
      </c>
      <c r="H292" s="259" t="s">
        <v>963</v>
      </c>
      <c r="I292" s="259" t="s">
        <v>924</v>
      </c>
      <c r="J292" s="32"/>
      <c r="K292" s="259" t="s">
        <v>964</v>
      </c>
      <c r="L292" s="328" t="s">
        <v>711</v>
      </c>
      <c r="M292" s="259">
        <v>873</v>
      </c>
      <c r="N292" s="252">
        <f t="shared" si="19"/>
        <v>117.75</v>
      </c>
      <c r="O292" s="259" t="s">
        <v>1088</v>
      </c>
      <c r="P292" s="394" t="s">
        <v>1022</v>
      </c>
      <c r="Q292" s="259"/>
      <c r="R292" s="259" t="s">
        <v>1604</v>
      </c>
      <c r="S292" s="259"/>
      <c r="T292" s="259"/>
      <c r="U292" s="259" t="s">
        <v>967</v>
      </c>
      <c r="V292" s="290" t="s">
        <v>1025</v>
      </c>
      <c r="W292" s="291">
        <v>-1</v>
      </c>
      <c r="X292" s="261">
        <v>0</v>
      </c>
      <c r="Y292" s="257"/>
      <c r="Z292" s="397"/>
      <c r="AA292" s="397"/>
      <c r="AB292" s="324"/>
      <c r="AC292" s="266"/>
      <c r="AD292" s="333"/>
      <c r="AE292" s="291"/>
      <c r="AF292" s="291"/>
      <c r="AG292" s="291"/>
      <c r="AH292" s="245"/>
      <c r="AI292" s="245"/>
    </row>
    <row r="293" spans="1:35" ht="19" customHeight="1">
      <c r="A293" s="252" t="s">
        <v>925</v>
      </c>
      <c r="B293" s="259" t="s">
        <v>1611</v>
      </c>
      <c r="C293" s="259">
        <v>2021</v>
      </c>
      <c r="D293" s="183" t="s">
        <v>2300</v>
      </c>
      <c r="E293" s="382">
        <v>18</v>
      </c>
      <c r="F293" s="259">
        <v>41</v>
      </c>
      <c r="G293" s="259">
        <f t="shared" si="18"/>
        <v>3.75</v>
      </c>
      <c r="H293" s="259" t="s">
        <v>963</v>
      </c>
      <c r="I293" s="259" t="s">
        <v>924</v>
      </c>
      <c r="J293" s="32"/>
      <c r="K293" s="259" t="s">
        <v>964</v>
      </c>
      <c r="L293" s="328" t="s">
        <v>711</v>
      </c>
      <c r="M293" s="259">
        <v>873</v>
      </c>
      <c r="N293" s="252">
        <f t="shared" si="19"/>
        <v>117.75</v>
      </c>
      <c r="O293" s="259" t="s">
        <v>1088</v>
      </c>
      <c r="P293" s="319" t="s">
        <v>89</v>
      </c>
      <c r="Q293" s="259"/>
      <c r="R293" s="259" t="s">
        <v>92</v>
      </c>
      <c r="S293" s="259"/>
      <c r="T293" s="259"/>
      <c r="U293" s="259" t="s">
        <v>967</v>
      </c>
      <c r="V293" s="264">
        <v>0.51700000000000002</v>
      </c>
      <c r="W293" s="259">
        <v>1</v>
      </c>
      <c r="X293" s="261">
        <v>0</v>
      </c>
      <c r="Y293" s="257"/>
      <c r="Z293" s="397"/>
      <c r="AA293" s="397"/>
      <c r="AB293" s="324"/>
      <c r="AC293" s="266"/>
      <c r="AD293" s="328"/>
      <c r="AE293" s="259"/>
      <c r="AF293" s="259"/>
      <c r="AG293" s="259"/>
      <c r="AH293" s="245"/>
      <c r="AI293" s="245"/>
    </row>
    <row r="294" spans="1:35" ht="19" customHeight="1">
      <c r="A294" s="252" t="s">
        <v>925</v>
      </c>
      <c r="B294" s="259" t="s">
        <v>1611</v>
      </c>
      <c r="C294" s="259">
        <v>2021</v>
      </c>
      <c r="D294" s="183" t="s">
        <v>2300</v>
      </c>
      <c r="E294" s="382">
        <v>18</v>
      </c>
      <c r="F294" s="259">
        <v>41</v>
      </c>
      <c r="G294" s="259">
        <f t="shared" si="18"/>
        <v>3.75</v>
      </c>
      <c r="H294" s="259" t="s">
        <v>963</v>
      </c>
      <c r="I294" s="259" t="s">
        <v>924</v>
      </c>
      <c r="J294" s="32"/>
      <c r="K294" s="259" t="s">
        <v>964</v>
      </c>
      <c r="L294" s="328" t="s">
        <v>711</v>
      </c>
      <c r="M294" s="259">
        <v>873</v>
      </c>
      <c r="N294" s="252">
        <f t="shared" si="19"/>
        <v>117.75</v>
      </c>
      <c r="O294" s="259" t="s">
        <v>1088</v>
      </c>
      <c r="P294" s="245" t="s">
        <v>1030</v>
      </c>
      <c r="R294" s="259" t="s">
        <v>1028</v>
      </c>
      <c r="S294" s="259"/>
      <c r="T294" s="259"/>
      <c r="U294" s="259" t="s">
        <v>967</v>
      </c>
      <c r="V294" s="252"/>
      <c r="W294" s="259"/>
      <c r="X294" s="261">
        <v>0</v>
      </c>
      <c r="Y294" s="315" t="s">
        <v>2295</v>
      </c>
      <c r="Z294" s="400"/>
      <c r="AA294" s="400"/>
      <c r="AB294" s="324"/>
      <c r="AC294" s="266"/>
      <c r="AD294" s="328"/>
      <c r="AE294" s="259"/>
      <c r="AF294" s="259"/>
      <c r="AG294" s="259"/>
      <c r="AH294" s="245"/>
      <c r="AI294" s="245"/>
    </row>
    <row r="295" spans="1:35" ht="20.25" customHeight="1">
      <c r="A295" s="252" t="s">
        <v>925</v>
      </c>
      <c r="B295" s="259" t="s">
        <v>1611</v>
      </c>
      <c r="C295" s="259">
        <v>2021</v>
      </c>
      <c r="D295" s="183" t="s">
        <v>2300</v>
      </c>
      <c r="E295" s="382">
        <v>18</v>
      </c>
      <c r="F295" s="259">
        <v>41</v>
      </c>
      <c r="G295" s="259">
        <f t="shared" si="18"/>
        <v>3.75</v>
      </c>
      <c r="H295" s="259" t="s">
        <v>963</v>
      </c>
      <c r="I295" s="259" t="s">
        <v>924</v>
      </c>
      <c r="J295" s="32"/>
      <c r="K295" s="259" t="s">
        <v>964</v>
      </c>
      <c r="L295" s="328" t="s">
        <v>965</v>
      </c>
      <c r="M295" s="259">
        <v>873</v>
      </c>
      <c r="N295" s="252">
        <f t="shared" si="19"/>
        <v>117.75</v>
      </c>
      <c r="O295" s="259" t="s">
        <v>1088</v>
      </c>
      <c r="P295" s="245" t="s">
        <v>1032</v>
      </c>
      <c r="R295" s="259" t="s">
        <v>1041</v>
      </c>
      <c r="S295" s="259"/>
      <c r="T295" s="259"/>
      <c r="U295" s="259" t="s">
        <v>967</v>
      </c>
      <c r="V295" s="252"/>
      <c r="W295" s="259"/>
      <c r="X295" s="261">
        <v>0</v>
      </c>
      <c r="Y295" s="315" t="s">
        <v>2295</v>
      </c>
      <c r="Z295" s="400"/>
      <c r="AA295" s="400"/>
      <c r="AB295" s="324"/>
      <c r="AC295" s="266"/>
      <c r="AD295" s="328"/>
      <c r="AE295" s="259"/>
      <c r="AF295" s="259"/>
      <c r="AG295" s="259"/>
      <c r="AH295" s="245"/>
      <c r="AI295" s="245"/>
    </row>
    <row r="296" spans="1:35" ht="19" customHeight="1">
      <c r="D296" s="183"/>
    </row>
    <row r="297" spans="1:35" ht="19" customHeight="1">
      <c r="A297" s="252" t="s">
        <v>925</v>
      </c>
      <c r="B297" s="259" t="s">
        <v>1612</v>
      </c>
      <c r="C297" s="259">
        <v>2017</v>
      </c>
      <c r="D297" s="183" t="s">
        <v>2300</v>
      </c>
      <c r="E297" s="382">
        <v>57</v>
      </c>
      <c r="F297" s="259">
        <v>27.7</v>
      </c>
      <c r="G297" s="259" t="s">
        <v>952</v>
      </c>
      <c r="H297" s="259" t="s">
        <v>1055</v>
      </c>
      <c r="I297" s="259" t="s">
        <v>924</v>
      </c>
      <c r="J297" s="32"/>
      <c r="K297" s="259" t="s">
        <v>938</v>
      </c>
      <c r="L297" s="328" t="s">
        <v>711</v>
      </c>
      <c r="M297" s="259">
        <v>655</v>
      </c>
      <c r="N297" s="259">
        <v>342</v>
      </c>
      <c r="O297" s="259" t="s">
        <v>1855</v>
      </c>
      <c r="P297" s="319" t="s">
        <v>1469</v>
      </c>
      <c r="Q297" s="252" t="s">
        <v>207</v>
      </c>
      <c r="R297" s="259" t="s">
        <v>1594</v>
      </c>
      <c r="S297" s="259"/>
      <c r="T297" s="259" t="s">
        <v>1595</v>
      </c>
      <c r="U297" s="259"/>
      <c r="V297" s="239">
        <v>-0.1</v>
      </c>
      <c r="W297" s="252">
        <v>-1</v>
      </c>
      <c r="X297" s="261">
        <v>1</v>
      </c>
      <c r="Y297" s="257">
        <f>V297*W297</f>
        <v>0.1</v>
      </c>
      <c r="Z297" s="397"/>
      <c r="AA297" s="397"/>
      <c r="AB297" s="324"/>
      <c r="AC297" s="266"/>
      <c r="AD297" s="328"/>
      <c r="AE297" s="259"/>
      <c r="AF297" s="259"/>
      <c r="AG297" s="259"/>
      <c r="AH297" s="245"/>
      <c r="AI297" s="245"/>
    </row>
    <row r="298" spans="1:35" ht="19" customHeight="1">
      <c r="A298" s="252" t="s">
        <v>925</v>
      </c>
      <c r="B298" s="259" t="s">
        <v>1612</v>
      </c>
      <c r="C298" s="259">
        <v>2017</v>
      </c>
      <c r="D298" s="183" t="s">
        <v>2300</v>
      </c>
      <c r="E298" s="382">
        <v>57</v>
      </c>
      <c r="F298" s="259">
        <v>27.7</v>
      </c>
      <c r="G298" s="259" t="s">
        <v>952</v>
      </c>
      <c r="H298" s="259" t="s">
        <v>1055</v>
      </c>
      <c r="I298" s="259" t="s">
        <v>924</v>
      </c>
      <c r="J298" s="32"/>
      <c r="K298" s="259" t="s">
        <v>938</v>
      </c>
      <c r="L298" s="328" t="s">
        <v>711</v>
      </c>
      <c r="M298" s="259">
        <v>655</v>
      </c>
      <c r="N298" s="259">
        <v>342</v>
      </c>
      <c r="O298" s="259" t="s">
        <v>1855</v>
      </c>
      <c r="P298" s="319" t="s">
        <v>1469</v>
      </c>
      <c r="Q298" s="252" t="s">
        <v>207</v>
      </c>
      <c r="R298" s="259" t="s">
        <v>1594</v>
      </c>
      <c r="S298" s="259"/>
      <c r="T298" s="259" t="s">
        <v>1596</v>
      </c>
      <c r="U298" s="259"/>
      <c r="V298" s="239">
        <v>0.26</v>
      </c>
      <c r="W298" s="252">
        <v>-1</v>
      </c>
      <c r="X298" s="261">
        <v>0</v>
      </c>
      <c r="Y298" s="257">
        <f>V298*W298</f>
        <v>-0.26</v>
      </c>
      <c r="Z298" s="397"/>
      <c r="AA298" s="397"/>
      <c r="AB298" s="324"/>
      <c r="AC298" s="266"/>
      <c r="AD298" s="328"/>
      <c r="AE298" s="259"/>
      <c r="AF298" s="259"/>
      <c r="AG298" s="259"/>
      <c r="AH298" s="245"/>
      <c r="AI298" s="245"/>
    </row>
    <row r="299" spans="1:35" ht="19" customHeight="1">
      <c r="A299" s="252" t="s">
        <v>925</v>
      </c>
      <c r="B299" s="259" t="s">
        <v>1612</v>
      </c>
      <c r="C299" s="259">
        <v>2017</v>
      </c>
      <c r="D299" s="183" t="s">
        <v>2300</v>
      </c>
      <c r="E299" s="382">
        <v>57</v>
      </c>
      <c r="F299" s="259">
        <v>27.7</v>
      </c>
      <c r="G299" s="259" t="s">
        <v>1053</v>
      </c>
      <c r="H299" s="259" t="s">
        <v>1054</v>
      </c>
      <c r="I299" s="259" t="s">
        <v>924</v>
      </c>
      <c r="J299" s="32"/>
      <c r="K299" s="259" t="s">
        <v>938</v>
      </c>
      <c r="L299" s="328" t="s">
        <v>711</v>
      </c>
      <c r="M299" s="259">
        <v>655</v>
      </c>
      <c r="N299" s="259">
        <v>342</v>
      </c>
      <c r="O299" s="259" t="s">
        <v>1855</v>
      </c>
      <c r="P299" s="319" t="s">
        <v>1469</v>
      </c>
      <c r="Q299" s="252" t="s">
        <v>207</v>
      </c>
      <c r="R299" s="259" t="s">
        <v>1594</v>
      </c>
      <c r="S299" s="259"/>
      <c r="T299" s="259" t="s">
        <v>1598</v>
      </c>
      <c r="V299" s="316" t="s">
        <v>2295</v>
      </c>
      <c r="X299" s="261">
        <v>0</v>
      </c>
      <c r="Y299" s="257"/>
      <c r="Z299" s="397"/>
      <c r="AA299" s="397"/>
      <c r="AB299" s="324"/>
      <c r="AC299" s="266"/>
      <c r="AD299" s="328"/>
      <c r="AE299" s="259"/>
      <c r="AF299" s="259"/>
      <c r="AG299" s="259"/>
      <c r="AH299" s="245"/>
      <c r="AI299" s="245"/>
    </row>
    <row r="300" spans="1:35" ht="19" customHeight="1">
      <c r="A300" s="252" t="s">
        <v>925</v>
      </c>
      <c r="B300" s="259" t="s">
        <v>1612</v>
      </c>
      <c r="C300" s="259">
        <v>2017</v>
      </c>
      <c r="D300" s="183" t="s">
        <v>2300</v>
      </c>
      <c r="E300" s="382">
        <v>57</v>
      </c>
      <c r="F300" s="259">
        <v>27.7</v>
      </c>
      <c r="G300" s="259" t="s">
        <v>952</v>
      </c>
      <c r="H300" s="259" t="s">
        <v>1054</v>
      </c>
      <c r="I300" s="259" t="s">
        <v>924</v>
      </c>
      <c r="J300" s="32"/>
      <c r="K300" s="259" t="s">
        <v>938</v>
      </c>
      <c r="L300" s="328" t="s">
        <v>711</v>
      </c>
      <c r="M300" s="259">
        <v>655</v>
      </c>
      <c r="N300" s="259">
        <v>342</v>
      </c>
      <c r="O300" s="259" t="s">
        <v>1855</v>
      </c>
      <c r="P300" s="319" t="s">
        <v>1469</v>
      </c>
      <c r="Q300" s="252" t="s">
        <v>207</v>
      </c>
      <c r="R300" s="259" t="s">
        <v>1463</v>
      </c>
      <c r="S300" s="259"/>
      <c r="T300" s="259" t="s">
        <v>207</v>
      </c>
      <c r="V300" s="316" t="s">
        <v>2295</v>
      </c>
      <c r="X300" s="261">
        <v>0</v>
      </c>
      <c r="Y300" s="257"/>
      <c r="Z300" s="397"/>
      <c r="AA300" s="397"/>
      <c r="AD300" s="332"/>
      <c r="AE300" s="292"/>
      <c r="AF300" s="292"/>
      <c r="AG300" s="292"/>
      <c r="AH300" s="245"/>
      <c r="AI300" s="245"/>
    </row>
    <row r="301" spans="1:35" ht="19" customHeight="1">
      <c r="A301" s="252" t="s">
        <v>925</v>
      </c>
      <c r="B301" s="259" t="s">
        <v>1612</v>
      </c>
      <c r="C301" s="259">
        <v>2017</v>
      </c>
      <c r="D301" s="183" t="s">
        <v>2300</v>
      </c>
      <c r="E301" s="382">
        <v>57</v>
      </c>
      <c r="F301" s="259">
        <v>27.7</v>
      </c>
      <c r="G301" s="259" t="s">
        <v>952</v>
      </c>
      <c r="H301" s="259" t="s">
        <v>953</v>
      </c>
      <c r="I301" s="259" t="s">
        <v>924</v>
      </c>
      <c r="J301" s="32"/>
      <c r="K301" s="259" t="s">
        <v>938</v>
      </c>
      <c r="L301" s="328" t="s">
        <v>711</v>
      </c>
      <c r="M301" s="259">
        <v>655</v>
      </c>
      <c r="N301" s="259">
        <v>342</v>
      </c>
      <c r="O301" s="259" t="s">
        <v>1855</v>
      </c>
      <c r="P301" s="245" t="s">
        <v>188</v>
      </c>
      <c r="Q301" s="259"/>
      <c r="R301" s="259" t="s">
        <v>949</v>
      </c>
      <c r="S301" s="259"/>
      <c r="T301" s="259"/>
      <c r="U301" s="259" t="s">
        <v>1455</v>
      </c>
      <c r="V301" s="266">
        <v>-0.19</v>
      </c>
      <c r="W301" s="261">
        <v>-1</v>
      </c>
      <c r="X301" s="261">
        <v>1</v>
      </c>
      <c r="Y301" s="257">
        <f t="shared" ref="Y301:Y307" si="20">V301*W301</f>
        <v>0.19</v>
      </c>
      <c r="Z301" s="397"/>
      <c r="AA301" s="397"/>
      <c r="AB301" s="324"/>
      <c r="AC301" s="266"/>
      <c r="AE301" s="269"/>
      <c r="AF301" s="269"/>
      <c r="AG301" s="269"/>
      <c r="AH301" s="245" t="s">
        <v>954</v>
      </c>
      <c r="AI301" s="245"/>
    </row>
    <row r="302" spans="1:35" ht="19" customHeight="1">
      <c r="A302" s="252" t="s">
        <v>925</v>
      </c>
      <c r="B302" s="259" t="s">
        <v>1612</v>
      </c>
      <c r="C302" s="259">
        <v>2017</v>
      </c>
      <c r="D302" s="183" t="s">
        <v>2300</v>
      </c>
      <c r="E302" s="382">
        <v>57</v>
      </c>
      <c r="F302" s="259">
        <v>27.7</v>
      </c>
      <c r="G302" s="259" t="s">
        <v>952</v>
      </c>
      <c r="H302" s="259" t="s">
        <v>1001</v>
      </c>
      <c r="I302" s="259" t="s">
        <v>924</v>
      </c>
      <c r="J302" s="32"/>
      <c r="K302" s="259" t="s">
        <v>938</v>
      </c>
      <c r="L302" s="328" t="s">
        <v>711</v>
      </c>
      <c r="M302" s="259">
        <v>655</v>
      </c>
      <c r="N302" s="259">
        <v>342</v>
      </c>
      <c r="O302" s="259" t="s">
        <v>1855</v>
      </c>
      <c r="P302" s="289" t="s">
        <v>70</v>
      </c>
      <c r="Q302" s="259"/>
      <c r="R302" s="32" t="s">
        <v>730</v>
      </c>
      <c r="T302" s="32"/>
      <c r="U302" s="259"/>
      <c r="V302" s="260">
        <f>- 0.181</f>
        <v>-0.18099999999999999</v>
      </c>
      <c r="W302" s="259">
        <v>-1</v>
      </c>
      <c r="X302" s="261">
        <v>0</v>
      </c>
      <c r="Y302" s="257">
        <f t="shared" si="20"/>
        <v>0.18099999999999999</v>
      </c>
      <c r="Z302" s="397"/>
      <c r="AA302" s="397"/>
      <c r="AB302" s="324"/>
      <c r="AC302" s="266"/>
      <c r="AD302" s="329"/>
      <c r="AE302" s="269"/>
      <c r="AF302" s="269"/>
      <c r="AG302" s="269"/>
      <c r="AH302" s="245"/>
      <c r="AI302" s="245"/>
    </row>
    <row r="303" spans="1:35" ht="19" customHeight="1">
      <c r="A303" s="252" t="s">
        <v>925</v>
      </c>
      <c r="B303" s="259" t="s">
        <v>1612</v>
      </c>
      <c r="C303" s="259">
        <v>2017</v>
      </c>
      <c r="D303" s="183" t="s">
        <v>2300</v>
      </c>
      <c r="E303" s="382">
        <v>57</v>
      </c>
      <c r="F303" s="259">
        <v>27.7</v>
      </c>
      <c r="G303" s="259" t="s">
        <v>952</v>
      </c>
      <c r="H303" s="259" t="s">
        <v>1000</v>
      </c>
      <c r="I303" s="259" t="s">
        <v>924</v>
      </c>
      <c r="J303" s="32"/>
      <c r="K303" s="259" t="s">
        <v>938</v>
      </c>
      <c r="L303" s="328" t="s">
        <v>711</v>
      </c>
      <c r="M303" s="259">
        <v>655</v>
      </c>
      <c r="N303" s="259">
        <v>342</v>
      </c>
      <c r="O303" s="259" t="s">
        <v>1855</v>
      </c>
      <c r="P303" s="289" t="s">
        <v>70</v>
      </c>
      <c r="Q303" s="259" t="s">
        <v>206</v>
      </c>
      <c r="R303" s="259" t="s">
        <v>1459</v>
      </c>
      <c r="S303" s="259"/>
      <c r="T303" s="259" t="s">
        <v>1447</v>
      </c>
      <c r="U303" s="259" t="s">
        <v>1460</v>
      </c>
      <c r="V303" s="264">
        <v>0.36</v>
      </c>
      <c r="W303" s="259">
        <v>1</v>
      </c>
      <c r="X303" s="261">
        <v>1</v>
      </c>
      <c r="Y303" s="257">
        <f t="shared" si="20"/>
        <v>0.36</v>
      </c>
      <c r="Z303" s="397"/>
      <c r="AA303" s="397"/>
      <c r="AB303" s="324"/>
      <c r="AC303" s="266"/>
      <c r="AD303" s="328"/>
      <c r="AE303" s="259"/>
      <c r="AF303" s="259"/>
      <c r="AG303" s="259"/>
      <c r="AH303" s="245"/>
      <c r="AI303" s="245"/>
    </row>
    <row r="304" spans="1:35" ht="19" customHeight="1">
      <c r="A304" s="252" t="s">
        <v>925</v>
      </c>
      <c r="B304" s="259" t="s">
        <v>1612</v>
      </c>
      <c r="C304" s="259">
        <v>2017</v>
      </c>
      <c r="D304" s="183" t="s">
        <v>2300</v>
      </c>
      <c r="E304" s="382">
        <v>57</v>
      </c>
      <c r="F304" s="259">
        <v>27.7</v>
      </c>
      <c r="G304" s="259" t="s">
        <v>952</v>
      </c>
      <c r="H304" s="259" t="s">
        <v>1052</v>
      </c>
      <c r="I304" s="259" t="s">
        <v>924</v>
      </c>
      <c r="J304" s="32"/>
      <c r="K304" s="259" t="s">
        <v>938</v>
      </c>
      <c r="L304" s="328" t="s">
        <v>711</v>
      </c>
      <c r="M304" s="259">
        <v>655</v>
      </c>
      <c r="N304" s="259">
        <v>342</v>
      </c>
      <c r="O304" s="259" t="s">
        <v>1855</v>
      </c>
      <c r="P304" s="319" t="s">
        <v>1468</v>
      </c>
      <c r="Q304" s="252" t="s">
        <v>206</v>
      </c>
      <c r="R304" s="259" t="s">
        <v>1594</v>
      </c>
      <c r="S304" s="259"/>
      <c r="T304" s="259" t="s">
        <v>1597</v>
      </c>
      <c r="U304" s="259"/>
      <c r="V304" s="239">
        <v>0.26</v>
      </c>
      <c r="W304" s="252">
        <v>1</v>
      </c>
      <c r="X304" s="261">
        <v>0</v>
      </c>
      <c r="Y304" s="257">
        <f t="shared" si="20"/>
        <v>0.26</v>
      </c>
      <c r="Z304" s="397"/>
      <c r="AA304" s="397"/>
      <c r="AB304" s="324"/>
      <c r="AC304" s="266"/>
      <c r="AD304" s="328"/>
      <c r="AE304" s="259"/>
      <c r="AF304" s="259"/>
      <c r="AG304" s="259"/>
      <c r="AH304" s="245"/>
      <c r="AI304" s="245"/>
    </row>
    <row r="305" spans="1:35" ht="19" customHeight="1">
      <c r="A305" s="252" t="s">
        <v>925</v>
      </c>
      <c r="B305" s="259" t="s">
        <v>1612</v>
      </c>
      <c r="C305" s="259">
        <v>2017</v>
      </c>
      <c r="D305" s="183" t="s">
        <v>2300</v>
      </c>
      <c r="E305" s="382">
        <v>57</v>
      </c>
      <c r="F305" s="259">
        <v>27.7</v>
      </c>
      <c r="G305" s="259" t="s">
        <v>952</v>
      </c>
      <c r="H305" s="259" t="s">
        <v>1051</v>
      </c>
      <c r="I305" s="259" t="s">
        <v>924</v>
      </c>
      <c r="J305" s="32"/>
      <c r="K305" s="259" t="s">
        <v>938</v>
      </c>
      <c r="L305" s="328" t="s">
        <v>711</v>
      </c>
      <c r="M305" s="259">
        <v>655</v>
      </c>
      <c r="N305" s="259">
        <v>342</v>
      </c>
      <c r="O305" s="259" t="s">
        <v>1855</v>
      </c>
      <c r="P305" s="319" t="s">
        <v>1468</v>
      </c>
      <c r="Q305" s="252" t="s">
        <v>206</v>
      </c>
      <c r="R305" s="259" t="s">
        <v>1594</v>
      </c>
      <c r="S305" s="259"/>
      <c r="T305" s="259" t="s">
        <v>1599</v>
      </c>
      <c r="U305" s="259"/>
      <c r="V305" s="239">
        <v>0.24</v>
      </c>
      <c r="W305" s="252">
        <v>1</v>
      </c>
      <c r="X305" s="261">
        <v>0</v>
      </c>
      <c r="Y305" s="257">
        <f t="shared" si="20"/>
        <v>0.24</v>
      </c>
      <c r="Z305" s="397"/>
      <c r="AA305" s="397"/>
      <c r="AB305" s="324"/>
      <c r="AC305" s="266"/>
      <c r="AD305" s="328"/>
      <c r="AE305" s="259"/>
      <c r="AF305" s="259"/>
      <c r="AG305" s="259"/>
      <c r="AH305" s="245"/>
      <c r="AI305" s="245"/>
    </row>
    <row r="306" spans="1:35" ht="19" customHeight="1">
      <c r="A306" s="252" t="s">
        <v>925</v>
      </c>
      <c r="B306" s="259" t="s">
        <v>1612</v>
      </c>
      <c r="C306" s="259">
        <v>2017</v>
      </c>
      <c r="D306" s="183" t="s">
        <v>2300</v>
      </c>
      <c r="E306" s="382">
        <v>57</v>
      </c>
      <c r="F306" s="259">
        <v>27.7</v>
      </c>
      <c r="G306" s="259" t="s">
        <v>952</v>
      </c>
      <c r="H306" s="259" t="s">
        <v>1052</v>
      </c>
      <c r="I306" s="259" t="s">
        <v>924</v>
      </c>
      <c r="J306" s="32"/>
      <c r="K306" s="259" t="s">
        <v>938</v>
      </c>
      <c r="L306" s="328" t="s">
        <v>711</v>
      </c>
      <c r="M306" s="259">
        <v>655</v>
      </c>
      <c r="N306" s="259">
        <v>342</v>
      </c>
      <c r="O306" s="259" t="s">
        <v>1855</v>
      </c>
      <c r="P306" s="319" t="s">
        <v>1468</v>
      </c>
      <c r="Q306" s="252" t="s">
        <v>206</v>
      </c>
      <c r="R306" s="259" t="s">
        <v>1593</v>
      </c>
      <c r="S306" s="259"/>
      <c r="T306" s="259" t="s">
        <v>1320</v>
      </c>
      <c r="U306" s="259" t="s">
        <v>1461</v>
      </c>
      <c r="V306" s="239">
        <v>0.25</v>
      </c>
      <c r="W306" s="261">
        <v>1</v>
      </c>
      <c r="X306" s="261">
        <v>1</v>
      </c>
      <c r="Y306" s="257">
        <f t="shared" si="20"/>
        <v>0.25</v>
      </c>
      <c r="Z306" s="397"/>
      <c r="AA306" s="397"/>
      <c r="AB306" s="324"/>
      <c r="AC306" s="266"/>
      <c r="AD306" s="328"/>
      <c r="AE306" s="259"/>
      <c r="AF306" s="259"/>
      <c r="AG306" s="259"/>
      <c r="AH306" s="245"/>
      <c r="AI306" s="245"/>
    </row>
    <row r="307" spans="1:35" ht="19" customHeight="1">
      <c r="A307" s="252" t="s">
        <v>925</v>
      </c>
      <c r="B307" s="259" t="s">
        <v>1612</v>
      </c>
      <c r="C307" s="259">
        <v>2017</v>
      </c>
      <c r="D307" s="183" t="s">
        <v>2300</v>
      </c>
      <c r="E307" s="382">
        <v>57</v>
      </c>
      <c r="F307" s="259">
        <v>27.7</v>
      </c>
      <c r="G307" s="259" t="s">
        <v>952</v>
      </c>
      <c r="H307" s="259" t="s">
        <v>1056</v>
      </c>
      <c r="I307" s="259" t="s">
        <v>924</v>
      </c>
      <c r="J307" s="32"/>
      <c r="K307" s="259" t="s">
        <v>938</v>
      </c>
      <c r="L307" s="328" t="s">
        <v>711</v>
      </c>
      <c r="M307" s="259">
        <v>655</v>
      </c>
      <c r="N307" s="259">
        <v>342</v>
      </c>
      <c r="O307" s="259" t="s">
        <v>1855</v>
      </c>
      <c r="P307" s="319" t="s">
        <v>1468</v>
      </c>
      <c r="Q307" s="252" t="s">
        <v>206</v>
      </c>
      <c r="R307" s="259" t="s">
        <v>1463</v>
      </c>
      <c r="S307" s="259"/>
      <c r="T307" s="259" t="s">
        <v>1600</v>
      </c>
      <c r="U307" s="259"/>
      <c r="V307" s="239">
        <v>0.33</v>
      </c>
      <c r="W307" s="252">
        <v>1</v>
      </c>
      <c r="X307" s="261">
        <v>1</v>
      </c>
      <c r="Y307" s="257">
        <f t="shared" si="20"/>
        <v>0.33</v>
      </c>
      <c r="Z307" s="397"/>
      <c r="AA307" s="397"/>
      <c r="AC307" s="266"/>
      <c r="AD307" s="328"/>
      <c r="AE307" s="259"/>
      <c r="AF307" s="259"/>
      <c r="AG307" s="259"/>
      <c r="AH307" s="245"/>
      <c r="AI307" s="245"/>
    </row>
    <row r="308" spans="1:35" ht="19" customHeight="1">
      <c r="A308" s="252" t="s">
        <v>925</v>
      </c>
      <c r="B308" s="259" t="s">
        <v>1612</v>
      </c>
      <c r="C308" s="259">
        <v>2017</v>
      </c>
      <c r="D308" s="183" t="s">
        <v>2300</v>
      </c>
      <c r="E308" s="382">
        <v>57</v>
      </c>
      <c r="F308" s="259">
        <v>27.7</v>
      </c>
      <c r="G308" s="259" t="s">
        <v>952</v>
      </c>
      <c r="H308" s="259" t="s">
        <v>1057</v>
      </c>
      <c r="I308" s="259" t="s">
        <v>924</v>
      </c>
      <c r="J308" s="32"/>
      <c r="K308" s="259" t="s">
        <v>938</v>
      </c>
      <c r="L308" s="328" t="s">
        <v>711</v>
      </c>
      <c r="M308" s="259">
        <v>655</v>
      </c>
      <c r="N308" s="259">
        <v>342</v>
      </c>
      <c r="O308" s="259" t="s">
        <v>1855</v>
      </c>
      <c r="P308" s="319" t="s">
        <v>1468</v>
      </c>
      <c r="Q308" s="252" t="s">
        <v>206</v>
      </c>
      <c r="R308" s="259" t="s">
        <v>1463</v>
      </c>
      <c r="S308" s="259"/>
      <c r="T308" s="259" t="s">
        <v>1601</v>
      </c>
      <c r="V308" s="316" t="s">
        <v>2295</v>
      </c>
      <c r="X308" s="261">
        <v>0</v>
      </c>
      <c r="AH308" s="245"/>
      <c r="AI308" s="245"/>
    </row>
    <row r="309" spans="1:35" ht="19" customHeight="1">
      <c r="A309" s="252" t="s">
        <v>925</v>
      </c>
      <c r="B309" s="259" t="s">
        <v>1612</v>
      </c>
      <c r="C309" s="259">
        <v>2017</v>
      </c>
      <c r="D309" s="183" t="s">
        <v>2300</v>
      </c>
      <c r="E309" s="382">
        <v>57</v>
      </c>
      <c r="F309" s="259">
        <v>27.7</v>
      </c>
      <c r="G309" s="259" t="s">
        <v>952</v>
      </c>
      <c r="H309" s="259" t="s">
        <v>896</v>
      </c>
      <c r="I309" s="259" t="s">
        <v>924</v>
      </c>
      <c r="J309" s="32"/>
      <c r="K309" s="259" t="s">
        <v>938</v>
      </c>
      <c r="L309" s="328" t="s">
        <v>711</v>
      </c>
      <c r="M309" s="259">
        <v>655</v>
      </c>
      <c r="N309" s="259">
        <v>342</v>
      </c>
      <c r="O309" s="259" t="s">
        <v>1855</v>
      </c>
      <c r="P309" s="245" t="s">
        <v>1075</v>
      </c>
      <c r="R309" s="259" t="s">
        <v>1076</v>
      </c>
      <c r="S309" s="259"/>
      <c r="T309" s="259"/>
      <c r="U309" s="314" t="s">
        <v>938</v>
      </c>
      <c r="V309" s="294" t="s">
        <v>993</v>
      </c>
      <c r="W309" s="261">
        <v>-1</v>
      </c>
      <c r="X309" s="261">
        <v>0</v>
      </c>
      <c r="Y309" s="257"/>
      <c r="Z309" s="397"/>
      <c r="AA309" s="397"/>
      <c r="AB309" s="324"/>
      <c r="AC309" s="266"/>
      <c r="AD309" s="328"/>
      <c r="AE309" s="259"/>
      <c r="AF309" s="259"/>
      <c r="AG309" s="259"/>
      <c r="AH309" s="245"/>
      <c r="AI309" s="245"/>
    </row>
    <row r="311" spans="1:35" ht="19" customHeight="1">
      <c r="A311" s="252" t="s">
        <v>1144</v>
      </c>
      <c r="B311" s="252" t="s">
        <v>1115</v>
      </c>
      <c r="C311" s="252">
        <v>2018</v>
      </c>
      <c r="D311" s="287" t="s">
        <v>2304</v>
      </c>
      <c r="E311" s="267">
        <v>23</v>
      </c>
      <c r="F311" s="252">
        <v>12.1</v>
      </c>
      <c r="G311" s="252">
        <v>3.3</v>
      </c>
      <c r="H311" s="252" t="s">
        <v>2284</v>
      </c>
      <c r="I311" s="259" t="s">
        <v>924</v>
      </c>
      <c r="L311" s="328" t="s">
        <v>711</v>
      </c>
      <c r="M311" s="271" t="s">
        <v>23</v>
      </c>
      <c r="N311" s="271" t="s">
        <v>23</v>
      </c>
      <c r="O311" s="271" t="s">
        <v>24</v>
      </c>
      <c r="P311" s="319" t="s">
        <v>977</v>
      </c>
      <c r="R311" s="259" t="s">
        <v>1587</v>
      </c>
      <c r="S311" s="32" t="s">
        <v>1371</v>
      </c>
      <c r="U311" s="252" t="s">
        <v>979</v>
      </c>
      <c r="V311" s="260" t="s">
        <v>980</v>
      </c>
      <c r="X311" s="261" t="s">
        <v>1046</v>
      </c>
      <c r="Y311" s="317" t="s">
        <v>2283</v>
      </c>
      <c r="Z311" s="402"/>
      <c r="AA311" s="402"/>
      <c r="AH311" s="252" t="s">
        <v>981</v>
      </c>
    </row>
    <row r="312" spans="1:35" ht="19" customHeight="1">
      <c r="A312" s="252" t="s">
        <v>1144</v>
      </c>
      <c r="B312" s="252" t="s">
        <v>1115</v>
      </c>
      <c r="C312" s="252">
        <v>2018</v>
      </c>
      <c r="D312" s="287" t="s">
        <v>2304</v>
      </c>
      <c r="E312" s="267">
        <v>23</v>
      </c>
      <c r="F312" s="252">
        <v>12.1</v>
      </c>
      <c r="G312" s="252">
        <v>3.3</v>
      </c>
      <c r="H312" s="252" t="s">
        <v>2284</v>
      </c>
      <c r="I312" s="259" t="s">
        <v>924</v>
      </c>
      <c r="L312" s="328" t="s">
        <v>711</v>
      </c>
      <c r="M312" s="271" t="s">
        <v>23</v>
      </c>
      <c r="N312" s="271" t="s">
        <v>23</v>
      </c>
      <c r="O312" s="271" t="s">
        <v>24</v>
      </c>
      <c r="P312" s="319" t="s">
        <v>977</v>
      </c>
      <c r="R312" s="259" t="s">
        <v>1587</v>
      </c>
      <c r="S312" s="32" t="s">
        <v>1371</v>
      </c>
      <c r="U312" s="252" t="s">
        <v>982</v>
      </c>
      <c r="V312" s="260" t="s">
        <v>980</v>
      </c>
      <c r="X312" s="261" t="s">
        <v>1046</v>
      </c>
      <c r="Y312" s="317" t="s">
        <v>2283</v>
      </c>
      <c r="Z312" s="402"/>
      <c r="AA312" s="402"/>
      <c r="AH312" s="252"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699" t="s">
        <v>0</v>
      </c>
      <c r="H3" s="699"/>
      <c r="I3" s="699"/>
      <c r="J3" s="699"/>
      <c r="K3" s="699"/>
      <c r="L3" s="15"/>
      <c r="M3" s="14"/>
      <c r="N3" s="699" t="s">
        <v>1</v>
      </c>
      <c r="O3" s="699"/>
      <c r="P3" s="699"/>
      <c r="Q3" s="699"/>
      <c r="R3" s="15"/>
      <c r="S3" s="15"/>
      <c r="T3" s="695" t="s">
        <v>2</v>
      </c>
      <c r="U3" s="695"/>
      <c r="V3" s="695"/>
      <c r="W3" s="695"/>
      <c r="X3" s="695"/>
      <c r="Y3" s="16"/>
      <c r="Z3" s="14"/>
      <c r="AA3" s="17"/>
      <c r="AB3" s="18"/>
      <c r="AC3" s="18"/>
      <c r="AE3" s="3" t="s">
        <v>295</v>
      </c>
    </row>
    <row r="4" spans="1:31" ht="26.25" customHeight="1">
      <c r="A4" s="18"/>
      <c r="B4" s="18"/>
      <c r="C4" s="18"/>
      <c r="D4" s="18"/>
      <c r="E4" s="17"/>
      <c r="F4" s="18"/>
      <c r="G4" s="697" t="s">
        <v>3</v>
      </c>
      <c r="H4" s="697"/>
      <c r="I4" s="10"/>
      <c r="J4" s="17"/>
      <c r="K4" s="17"/>
      <c r="L4" s="17"/>
      <c r="M4" s="17"/>
      <c r="N4" s="697" t="s">
        <v>3</v>
      </c>
      <c r="O4" s="697"/>
      <c r="P4" s="10"/>
      <c r="Q4" s="10"/>
      <c r="R4" s="10"/>
      <c r="S4" s="10"/>
      <c r="T4" s="696"/>
      <c r="U4" s="696"/>
      <c r="V4" s="696"/>
      <c r="W4" s="696"/>
      <c r="X4" s="696"/>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700" t="s">
        <v>277</v>
      </c>
      <c r="F53" s="700"/>
      <c r="G53" s="700"/>
      <c r="H53" s="700"/>
      <c r="I53" s="700"/>
      <c r="J53" s="700"/>
      <c r="K53" s="700"/>
      <c r="L53" s="700"/>
      <c r="M53" s="700"/>
      <c r="N53" s="647" t="s">
        <v>280</v>
      </c>
      <c r="O53" s="647"/>
      <c r="P53" s="647"/>
      <c r="Q53" s="647"/>
      <c r="R53" s="647"/>
      <c r="S53" s="647"/>
    </row>
    <row r="54" spans="1:19" ht="26.25" customHeight="1">
      <c r="A54" s="38" t="s">
        <v>285</v>
      </c>
      <c r="B54" s="3" t="s">
        <v>278</v>
      </c>
      <c r="C54" s="31">
        <v>1996</v>
      </c>
      <c r="E54" s="700" t="s">
        <v>279</v>
      </c>
      <c r="F54" s="700"/>
      <c r="G54" s="700"/>
      <c r="H54" s="700"/>
      <c r="I54" s="700"/>
      <c r="J54" s="700"/>
      <c r="K54" s="700"/>
      <c r="L54" s="700"/>
      <c r="M54" s="700"/>
      <c r="N54" s="647" t="s">
        <v>280</v>
      </c>
      <c r="O54" s="647"/>
      <c r="P54" s="647"/>
      <c r="Q54" s="647"/>
      <c r="R54" s="647"/>
      <c r="S54" s="647"/>
    </row>
    <row r="55" spans="1:19" ht="26.25" customHeight="1">
      <c r="A55" s="3" t="s">
        <v>283</v>
      </c>
      <c r="B55" s="3" t="s">
        <v>281</v>
      </c>
      <c r="C55" s="31">
        <v>2010</v>
      </c>
      <c r="E55" s="700" t="s">
        <v>282</v>
      </c>
      <c r="F55" s="700"/>
      <c r="G55" s="700"/>
      <c r="H55" s="700"/>
      <c r="I55" s="700"/>
      <c r="J55" s="700"/>
      <c r="K55" s="700"/>
      <c r="L55" s="700"/>
      <c r="M55" s="700"/>
      <c r="N55" s="647" t="s">
        <v>280</v>
      </c>
      <c r="O55" s="647"/>
      <c r="P55" s="647"/>
      <c r="Q55" s="647"/>
      <c r="R55" s="647"/>
      <c r="S55" s="647"/>
    </row>
    <row r="56" spans="1:19" ht="26.25" customHeight="1">
      <c r="A56" s="38" t="s">
        <v>285</v>
      </c>
      <c r="B56" s="3" t="s">
        <v>284</v>
      </c>
      <c r="C56" s="31">
        <v>2014</v>
      </c>
      <c r="E56" s="646" t="s">
        <v>286</v>
      </c>
      <c r="F56" s="646"/>
      <c r="G56" s="646"/>
      <c r="H56" s="646"/>
      <c r="I56" s="646"/>
      <c r="J56" s="646"/>
      <c r="K56" s="646"/>
      <c r="L56" s="31"/>
      <c r="N56" s="647" t="s">
        <v>280</v>
      </c>
      <c r="O56" s="647"/>
      <c r="P56" s="647"/>
      <c r="Q56" s="647"/>
      <c r="R56" s="647"/>
      <c r="S56" s="647"/>
    </row>
    <row r="57" spans="1:19" ht="26.25" customHeight="1">
      <c r="A57" s="3" t="s">
        <v>288</v>
      </c>
      <c r="B57" s="3" t="s">
        <v>287</v>
      </c>
      <c r="C57" s="31">
        <v>1994</v>
      </c>
      <c r="E57" s="646" t="s">
        <v>289</v>
      </c>
      <c r="F57" s="646"/>
      <c r="G57" s="646"/>
      <c r="H57" s="646"/>
      <c r="I57" s="646"/>
      <c r="J57" s="646"/>
      <c r="K57" s="646"/>
      <c r="L57" s="31"/>
      <c r="N57" s="647" t="s">
        <v>280</v>
      </c>
      <c r="O57" s="647"/>
      <c r="P57" s="647"/>
      <c r="Q57" s="647"/>
      <c r="R57" s="647"/>
      <c r="S57" s="647"/>
    </row>
    <row r="58" spans="1:19" ht="26.25" customHeight="1">
      <c r="A58" s="38" t="s">
        <v>285</v>
      </c>
      <c r="B58" s="47" t="s">
        <v>290</v>
      </c>
      <c r="C58" s="31">
        <v>2001</v>
      </c>
      <c r="E58" s="3" t="s">
        <v>409</v>
      </c>
    </row>
    <row r="59" spans="1:19" ht="26.25" customHeight="1">
      <c r="A59" s="3" t="s">
        <v>283</v>
      </c>
      <c r="B59" s="3" t="s">
        <v>344</v>
      </c>
      <c r="C59" s="31">
        <v>2013</v>
      </c>
      <c r="E59" s="647" t="s">
        <v>345</v>
      </c>
      <c r="F59" s="647"/>
      <c r="G59" s="647"/>
      <c r="H59" s="647"/>
      <c r="I59" s="647"/>
      <c r="J59" s="647"/>
      <c r="K59" s="647"/>
      <c r="L59" s="30"/>
      <c r="N59" s="647" t="s">
        <v>280</v>
      </c>
      <c r="O59" s="647"/>
      <c r="P59" s="647"/>
      <c r="Q59" s="647"/>
      <c r="R59" s="647"/>
      <c r="S59" s="647"/>
    </row>
    <row r="60" spans="1:19" ht="26.25" customHeight="1">
      <c r="A60" s="3" t="s">
        <v>283</v>
      </c>
      <c r="B60" s="3" t="s">
        <v>347</v>
      </c>
      <c r="C60" s="31">
        <v>2000</v>
      </c>
      <c r="N60" s="646" t="s">
        <v>346</v>
      </c>
      <c r="O60" s="646"/>
      <c r="P60" s="646"/>
      <c r="Q60" s="646"/>
      <c r="R60" s="646"/>
      <c r="S60" s="646"/>
    </row>
    <row r="61" spans="1:19" ht="26.25" customHeight="1">
      <c r="A61" s="3" t="s">
        <v>283</v>
      </c>
      <c r="B61" s="3" t="s">
        <v>348</v>
      </c>
      <c r="C61" s="31">
        <v>2018</v>
      </c>
      <c r="N61" s="647" t="s">
        <v>349</v>
      </c>
      <c r="O61" s="647"/>
      <c r="P61" s="647"/>
      <c r="Q61" s="647"/>
      <c r="R61" s="647"/>
      <c r="S61" s="647"/>
    </row>
    <row r="62" spans="1:19" ht="26.25" customHeight="1">
      <c r="A62" s="3" t="s">
        <v>283</v>
      </c>
      <c r="B62" s="3" t="s">
        <v>350</v>
      </c>
      <c r="C62" s="31">
        <v>2000</v>
      </c>
      <c r="E62" s="647" t="s">
        <v>352</v>
      </c>
      <c r="F62" s="647"/>
      <c r="G62" s="647"/>
      <c r="H62" s="647"/>
      <c r="I62" s="647"/>
      <c r="J62" s="647"/>
      <c r="K62" s="647"/>
      <c r="L62" s="30"/>
      <c r="N62" s="647" t="s">
        <v>351</v>
      </c>
      <c r="O62" s="647"/>
      <c r="P62" s="647"/>
      <c r="Q62" s="647"/>
      <c r="R62" s="647"/>
      <c r="S62" s="647"/>
    </row>
    <row r="63" spans="1:19" ht="26.25" customHeight="1">
      <c r="A63" s="3" t="s">
        <v>283</v>
      </c>
      <c r="B63" s="3" t="s">
        <v>401</v>
      </c>
      <c r="C63" s="31">
        <v>1994</v>
      </c>
      <c r="E63" s="3" t="s">
        <v>402</v>
      </c>
      <c r="N63" s="647" t="s">
        <v>351</v>
      </c>
      <c r="O63" s="647"/>
      <c r="P63" s="647"/>
      <c r="Q63" s="647"/>
      <c r="R63" s="647"/>
      <c r="S63" s="647"/>
    </row>
    <row r="64" spans="1:19" ht="26.25" customHeight="1">
      <c r="A64" s="38" t="s">
        <v>285</v>
      </c>
      <c r="B64" s="3" t="s">
        <v>404</v>
      </c>
      <c r="C64" s="31">
        <v>1994</v>
      </c>
      <c r="E64" s="3" t="s">
        <v>403</v>
      </c>
    </row>
    <row r="65" spans="1:19" ht="26.25" customHeight="1">
      <c r="A65" s="3" t="s">
        <v>408</v>
      </c>
      <c r="B65" s="3" t="s">
        <v>405</v>
      </c>
      <c r="C65" s="31">
        <v>2022</v>
      </c>
      <c r="E65" s="3" t="s">
        <v>406</v>
      </c>
      <c r="N65" s="647" t="s">
        <v>407</v>
      </c>
      <c r="O65" s="647"/>
      <c r="P65" s="647"/>
      <c r="Q65" s="647"/>
      <c r="R65" s="647"/>
      <c r="S65" s="647"/>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698" t="s">
        <v>586</v>
      </c>
      <c r="J69" s="698"/>
      <c r="K69" s="698"/>
      <c r="L69" s="698"/>
      <c r="M69" s="698"/>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Demog impair </vt:lpstr>
      <vt:lpstr>Compr table S1</vt:lpstr>
      <vt:lpstr>Summary table impar demo</vt:lpstr>
      <vt:lpstr> Impairm Adult and children</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2025-02-27T23:35:01Z</dcterms:modified>
</cp:coreProperties>
</file>