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istina Toshiba\PKU_meta-analyses PAPER\"/>
    </mc:Choice>
  </mc:AlternateContent>
  <xr:revisionPtr revIDLastSave="0" documentId="8_{4EF77226-24B4-4F47-BA8A-DF2501BD4C74}" xr6:coauthVersionLast="47" xr6:coauthVersionMax="47" xr10:uidLastSave="{00000000-0000-0000-0000-000000000000}"/>
  <bookViews>
    <workbookView xWindow="3435" yWindow="-45" windowWidth="19905" windowHeight="14505" tabRatio="694" activeTab="1" xr2:uid="{7C3B80AD-2179-4743-9F32-4F868822F237}"/>
  </bookViews>
  <sheets>
    <sheet name="NOTE" sheetId="4" r:id="rId1"/>
    <sheet name="ES final selection" sheetId="19" r:id="rId2"/>
    <sheet name="Acc_RT sorted" sheetId="15" r:id="rId3"/>
    <sheet name="EF-lang no-time task" sheetId="20" r:id="rId4"/>
    <sheet name="Verbal_visual_sorted" sheetId="22" r:id="rId5"/>
    <sheet name="graphs" sheetId="18" r:id="rId6"/>
    <sheet name="ES all papers" sheetId="1" r:id="rId7"/>
    <sheet name="table of studies" sheetId="2" r:id="rId8"/>
    <sheet name="Pilotto et al." sheetId="3" r:id="rId9"/>
    <sheet name="Lou et al., 1987" sheetId="5" r:id="rId10"/>
    <sheet name="Leuzzi, 2014" sheetId="10" r:id="rId11"/>
    <sheet name="perc to stan score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89" i="19" l="1"/>
  <c r="I289" i="19"/>
  <c r="G289" i="19"/>
  <c r="G290" i="19"/>
  <c r="I290" i="19"/>
  <c r="F289" i="19"/>
  <c r="F2" i="19"/>
  <c r="F290" i="19"/>
  <c r="X80" i="22"/>
  <c r="V80" i="22"/>
  <c r="W80" i="22" s="1"/>
  <c r="T80" i="22"/>
  <c r="X79" i="22"/>
  <c r="V79" i="22"/>
  <c r="W79" i="22" s="1"/>
  <c r="T79" i="22"/>
  <c r="X78" i="22"/>
  <c r="V78" i="22"/>
  <c r="W78" i="22" s="1"/>
  <c r="T78" i="22"/>
  <c r="X77" i="22"/>
  <c r="V77" i="22"/>
  <c r="W77" i="22" s="1"/>
  <c r="T77" i="22"/>
  <c r="X76" i="22"/>
  <c r="V76" i="22"/>
  <c r="W76" i="22" s="1"/>
  <c r="T76" i="22"/>
  <c r="X75" i="22"/>
  <c r="V75" i="22"/>
  <c r="W75" i="22" s="1"/>
  <c r="T75" i="22"/>
  <c r="X74" i="22"/>
  <c r="V74" i="22"/>
  <c r="W74" i="22" s="1"/>
  <c r="T74" i="22"/>
  <c r="X73" i="22"/>
  <c r="V73" i="22"/>
  <c r="W73" i="22" s="1"/>
  <c r="T73" i="22"/>
  <c r="Y72" i="22"/>
  <c r="X72" i="22"/>
  <c r="V72" i="22"/>
  <c r="W72" i="22" s="1"/>
  <c r="T72" i="22"/>
  <c r="X45" i="22"/>
  <c r="V45" i="22"/>
  <c r="W45" i="22" s="1"/>
  <c r="T45" i="22"/>
  <c r="X44" i="22"/>
  <c r="V44" i="22"/>
  <c r="W44" i="22" s="1"/>
  <c r="T44" i="22"/>
  <c r="X43" i="22"/>
  <c r="V43" i="22"/>
  <c r="W43" i="22" s="1"/>
  <c r="T43" i="22"/>
  <c r="X42" i="22"/>
  <c r="V42" i="22"/>
  <c r="W42" i="22" s="1"/>
  <c r="T42" i="22"/>
  <c r="X41" i="22"/>
  <c r="V41" i="22"/>
  <c r="W41" i="22" s="1"/>
  <c r="T41" i="22"/>
  <c r="X40" i="22"/>
  <c r="V40" i="22"/>
  <c r="W40" i="22" s="1"/>
  <c r="T40" i="22"/>
  <c r="X39" i="22"/>
  <c r="V39" i="22"/>
  <c r="W39" i="22" s="1"/>
  <c r="T39" i="22"/>
  <c r="X38" i="22"/>
  <c r="V38" i="22"/>
  <c r="W38" i="22" s="1"/>
  <c r="T38" i="22"/>
  <c r="X35" i="22"/>
  <c r="V35" i="22"/>
  <c r="W35" i="22" s="1"/>
  <c r="T35" i="22"/>
  <c r="X34" i="22"/>
  <c r="V34" i="22"/>
  <c r="W34" i="22" s="1"/>
  <c r="T34" i="22"/>
  <c r="V138" i="19"/>
  <c r="A2" i="19"/>
  <c r="K265" i="19"/>
  <c r="I1" i="19"/>
  <c r="G158" i="18"/>
  <c r="H157" i="18"/>
  <c r="G157" i="18"/>
  <c r="G156" i="18"/>
  <c r="H155" i="18"/>
  <c r="G155" i="18"/>
  <c r="G154" i="18"/>
  <c r="H153" i="18"/>
  <c r="G153" i="18"/>
  <c r="X51" i="22"/>
  <c r="V51" i="22"/>
  <c r="W51" i="22" s="1"/>
  <c r="T51" i="22"/>
  <c r="X50" i="22"/>
  <c r="V50" i="22"/>
  <c r="W50" i="22" s="1"/>
  <c r="T50" i="22"/>
  <c r="X71" i="22"/>
  <c r="V71" i="22"/>
  <c r="W71" i="22" s="1"/>
  <c r="T71" i="22"/>
  <c r="Q49" i="22"/>
  <c r="X49" i="22" s="1"/>
  <c r="L49" i="22"/>
  <c r="X48" i="22"/>
  <c r="V48" i="22"/>
  <c r="W48" i="22" s="1"/>
  <c r="T48" i="22"/>
  <c r="Q47" i="22"/>
  <c r="X47" i="22" s="1"/>
  <c r="L47" i="22"/>
  <c r="X70" i="22"/>
  <c r="V70" i="22"/>
  <c r="W70" i="22" s="1"/>
  <c r="T70" i="22"/>
  <c r="X69" i="22"/>
  <c r="V69" i="22"/>
  <c r="W69" i="22" s="1"/>
  <c r="T69" i="22"/>
  <c r="X68" i="22"/>
  <c r="V68" i="22"/>
  <c r="W68" i="22" s="1"/>
  <c r="T68" i="22"/>
  <c r="X67" i="22"/>
  <c r="V67" i="22"/>
  <c r="W67" i="22" s="1"/>
  <c r="T67" i="22"/>
  <c r="X66" i="22"/>
  <c r="V66" i="22"/>
  <c r="W66" i="22" s="1"/>
  <c r="T66" i="22"/>
  <c r="X65" i="22"/>
  <c r="V65" i="22"/>
  <c r="W65" i="22" s="1"/>
  <c r="T65" i="22"/>
  <c r="X64" i="22"/>
  <c r="V64" i="22"/>
  <c r="W64" i="22" s="1"/>
  <c r="T64" i="22"/>
  <c r="X63" i="22"/>
  <c r="V63" i="22"/>
  <c r="W63" i="22" s="1"/>
  <c r="T63" i="22"/>
  <c r="X62" i="22"/>
  <c r="V62" i="22"/>
  <c r="W62" i="22" s="1"/>
  <c r="T62" i="22"/>
  <c r="X61" i="22"/>
  <c r="V61" i="22"/>
  <c r="W61" i="22" s="1"/>
  <c r="T61" i="22"/>
  <c r="X60" i="22"/>
  <c r="V60" i="22"/>
  <c r="W60" i="22" s="1"/>
  <c r="T60" i="22"/>
  <c r="X59" i="22"/>
  <c r="V59" i="22"/>
  <c r="W59" i="22" s="1"/>
  <c r="T59" i="22"/>
  <c r="Q58" i="22"/>
  <c r="X58" i="22" s="1"/>
  <c r="L58" i="22"/>
  <c r="X57" i="22"/>
  <c r="V57" i="22"/>
  <c r="W57" i="22" s="1"/>
  <c r="T57" i="22"/>
  <c r="X56" i="22"/>
  <c r="V56" i="22"/>
  <c r="W56" i="22" s="1"/>
  <c r="T56" i="22"/>
  <c r="X55" i="22"/>
  <c r="V55" i="22"/>
  <c r="W55" i="22" s="1"/>
  <c r="T55" i="22"/>
  <c r="X54" i="22"/>
  <c r="V54" i="22"/>
  <c r="W54" i="22" s="1"/>
  <c r="T54" i="22"/>
  <c r="X53" i="22"/>
  <c r="V53" i="22"/>
  <c r="W53" i="22" s="1"/>
  <c r="T53" i="22"/>
  <c r="X52" i="22"/>
  <c r="V52" i="22"/>
  <c r="W52" i="22" s="1"/>
  <c r="T52" i="22"/>
  <c r="X17" i="22"/>
  <c r="V17" i="22"/>
  <c r="W17" i="22" s="1"/>
  <c r="T17" i="22"/>
  <c r="X16" i="22"/>
  <c r="V16" i="22"/>
  <c r="W16" i="22" s="1"/>
  <c r="T16" i="22"/>
  <c r="X15" i="22"/>
  <c r="V15" i="22"/>
  <c r="W15" i="22" s="1"/>
  <c r="T15" i="22"/>
  <c r="X14" i="22"/>
  <c r="V14" i="22"/>
  <c r="W14" i="22" s="1"/>
  <c r="T14" i="22"/>
  <c r="X13" i="22"/>
  <c r="V13" i="22"/>
  <c r="W13" i="22" s="1"/>
  <c r="T13" i="22"/>
  <c r="X12" i="22"/>
  <c r="V12" i="22"/>
  <c r="W12" i="22" s="1"/>
  <c r="T12" i="22"/>
  <c r="X11" i="22"/>
  <c r="V11" i="22"/>
  <c r="W11" i="22" s="1"/>
  <c r="T11" i="22"/>
  <c r="X10" i="22"/>
  <c r="V10" i="22"/>
  <c r="W10" i="22" s="1"/>
  <c r="T10" i="22"/>
  <c r="X9" i="22"/>
  <c r="V9" i="22"/>
  <c r="W9" i="22" s="1"/>
  <c r="T9" i="22"/>
  <c r="X8" i="22"/>
  <c r="V8" i="22"/>
  <c r="W8" i="22" s="1"/>
  <c r="T8" i="22"/>
  <c r="X7" i="22"/>
  <c r="V7" i="22"/>
  <c r="W7" i="22" s="1"/>
  <c r="T7" i="22"/>
  <c r="X6" i="22"/>
  <c r="V6" i="22"/>
  <c r="W6" i="22" s="1"/>
  <c r="T6" i="22"/>
  <c r="X5" i="22"/>
  <c r="V5" i="22"/>
  <c r="W5" i="22" s="1"/>
  <c r="T5" i="22"/>
  <c r="X33" i="22"/>
  <c r="V33" i="22"/>
  <c r="W33" i="22" s="1"/>
  <c r="T33" i="22"/>
  <c r="X32" i="22"/>
  <c r="V32" i="22"/>
  <c r="W32" i="22" s="1"/>
  <c r="T32" i="22"/>
  <c r="X31" i="22"/>
  <c r="V31" i="22"/>
  <c r="W31" i="22" s="1"/>
  <c r="T31" i="22"/>
  <c r="X30" i="22"/>
  <c r="V30" i="22"/>
  <c r="W30" i="22" s="1"/>
  <c r="T30" i="22"/>
  <c r="X29" i="22"/>
  <c r="V29" i="22"/>
  <c r="W29" i="22" s="1"/>
  <c r="T29" i="22"/>
  <c r="X28" i="22"/>
  <c r="V28" i="22"/>
  <c r="W28" i="22" s="1"/>
  <c r="T28" i="22"/>
  <c r="Q27" i="22"/>
  <c r="X27" i="22" s="1"/>
  <c r="L27" i="22"/>
  <c r="X26" i="22"/>
  <c r="V26" i="22"/>
  <c r="W26" i="22" s="1"/>
  <c r="T26" i="22"/>
  <c r="X25" i="22"/>
  <c r="V25" i="22"/>
  <c r="W25" i="22" s="1"/>
  <c r="T25" i="22"/>
  <c r="X24" i="22"/>
  <c r="V24" i="22"/>
  <c r="W24" i="22" s="1"/>
  <c r="T24" i="22"/>
  <c r="X23" i="22"/>
  <c r="V23" i="22"/>
  <c r="W23" i="22" s="1"/>
  <c r="T23" i="22"/>
  <c r="X22" i="22"/>
  <c r="V22" i="22"/>
  <c r="W22" i="22" s="1"/>
  <c r="T22" i="22"/>
  <c r="X21" i="22"/>
  <c r="V21" i="22"/>
  <c r="W21" i="22" s="1"/>
  <c r="T21" i="22"/>
  <c r="X20" i="22"/>
  <c r="V20" i="22"/>
  <c r="W20" i="22" s="1"/>
  <c r="T20" i="22"/>
  <c r="X19" i="22"/>
  <c r="V19" i="22"/>
  <c r="W19" i="22" s="1"/>
  <c r="T19" i="22"/>
  <c r="W74" i="20"/>
  <c r="U74" i="20"/>
  <c r="V74" i="20" s="1"/>
  <c r="S74" i="20"/>
  <c r="W73" i="20"/>
  <c r="U73" i="20"/>
  <c r="V73" i="20" s="1"/>
  <c r="S73" i="20"/>
  <c r="W66" i="20"/>
  <c r="U66" i="20"/>
  <c r="V66" i="20" s="1"/>
  <c r="S66" i="20"/>
  <c r="W65" i="20"/>
  <c r="U65" i="20"/>
  <c r="V65" i="20" s="1"/>
  <c r="S65" i="20"/>
  <c r="W64" i="20"/>
  <c r="U64" i="20"/>
  <c r="V64" i="20" s="1"/>
  <c r="S64" i="20"/>
  <c r="W63" i="20"/>
  <c r="U63" i="20"/>
  <c r="V63" i="20" s="1"/>
  <c r="S63" i="20"/>
  <c r="W62" i="20"/>
  <c r="U62" i="20"/>
  <c r="V62" i="20" s="1"/>
  <c r="S62" i="20"/>
  <c r="W61" i="20"/>
  <c r="U61" i="20"/>
  <c r="V61" i="20" s="1"/>
  <c r="S61" i="20"/>
  <c r="W60" i="20"/>
  <c r="U60" i="20"/>
  <c r="S60" i="20"/>
  <c r="W59" i="20"/>
  <c r="U59" i="20"/>
  <c r="V59" i="20" s="1"/>
  <c r="S59" i="20"/>
  <c r="W58" i="20"/>
  <c r="U58" i="20"/>
  <c r="S58" i="20"/>
  <c r="W72" i="20"/>
  <c r="U72" i="20"/>
  <c r="V72" i="20" s="1"/>
  <c r="S72" i="20"/>
  <c r="W71" i="20"/>
  <c r="U71" i="20"/>
  <c r="V71" i="20" s="1"/>
  <c r="S71" i="20"/>
  <c r="P77" i="20"/>
  <c r="K77" i="20"/>
  <c r="K76" i="20"/>
  <c r="U76" i="20" s="1"/>
  <c r="V76" i="20" s="1"/>
  <c r="V75" i="20"/>
  <c r="W70" i="20"/>
  <c r="U70" i="20"/>
  <c r="V70" i="20" s="1"/>
  <c r="S70" i="20"/>
  <c r="W69" i="20"/>
  <c r="U69" i="20"/>
  <c r="V69" i="20" s="1"/>
  <c r="S69" i="20"/>
  <c r="W68" i="20"/>
  <c r="U68" i="20"/>
  <c r="V68" i="20" s="1"/>
  <c r="S68" i="20"/>
  <c r="W67" i="20"/>
  <c r="U67" i="20"/>
  <c r="V67" i="20" s="1"/>
  <c r="S67" i="20"/>
  <c r="W57" i="20"/>
  <c r="U57" i="20"/>
  <c r="V57" i="20" s="1"/>
  <c r="S57" i="20"/>
  <c r="W56" i="20"/>
  <c r="U56" i="20"/>
  <c r="S56" i="20"/>
  <c r="W53" i="20"/>
  <c r="U53" i="20"/>
  <c r="V53" i="20" s="1"/>
  <c r="S53" i="20"/>
  <c r="W52" i="20"/>
  <c r="U52" i="20"/>
  <c r="V52" i="20" s="1"/>
  <c r="S52" i="20"/>
  <c r="W35" i="20"/>
  <c r="U35" i="20"/>
  <c r="V35" i="20" s="1"/>
  <c r="S35" i="20"/>
  <c r="W34" i="20"/>
  <c r="U34" i="20"/>
  <c r="V34" i="20" s="1"/>
  <c r="S34" i="20"/>
  <c r="P21" i="20"/>
  <c r="W21" i="20" s="1"/>
  <c r="K21" i="20"/>
  <c r="W26" i="20"/>
  <c r="U26" i="20"/>
  <c r="V26" i="20" s="1"/>
  <c r="S26" i="20"/>
  <c r="W16" i="20"/>
  <c r="U16" i="20"/>
  <c r="V16" i="20" s="1"/>
  <c r="S16" i="20"/>
  <c r="P14" i="20"/>
  <c r="W14" i="20" s="1"/>
  <c r="K14" i="20"/>
  <c r="W12" i="20"/>
  <c r="U12" i="20"/>
  <c r="S12" i="20"/>
  <c r="W51" i="20"/>
  <c r="U51" i="20"/>
  <c r="V51" i="20" s="1"/>
  <c r="S51" i="20"/>
  <c r="W50" i="20"/>
  <c r="U50" i="20"/>
  <c r="V50" i="20" s="1"/>
  <c r="S50" i="20"/>
  <c r="W49" i="20"/>
  <c r="U49" i="20"/>
  <c r="V49" i="20" s="1"/>
  <c r="S49" i="20"/>
  <c r="W48" i="20"/>
  <c r="U48" i="20"/>
  <c r="V48" i="20" s="1"/>
  <c r="S48" i="20"/>
  <c r="W46" i="20"/>
  <c r="U46" i="20"/>
  <c r="V46" i="20" s="1"/>
  <c r="S46" i="20"/>
  <c r="W45" i="20"/>
  <c r="U45" i="20"/>
  <c r="V45" i="20" s="1"/>
  <c r="S45" i="20"/>
  <c r="W44" i="20"/>
  <c r="U44" i="20"/>
  <c r="V44" i="20" s="1"/>
  <c r="S44" i="20"/>
  <c r="W43" i="20"/>
  <c r="U43" i="20"/>
  <c r="V43" i="20" s="1"/>
  <c r="S43" i="20"/>
  <c r="W42" i="20"/>
  <c r="U42" i="20"/>
  <c r="V42" i="20" s="1"/>
  <c r="S42" i="20"/>
  <c r="W40" i="20"/>
  <c r="U40" i="20"/>
  <c r="V40" i="20" s="1"/>
  <c r="S40" i="20"/>
  <c r="P39" i="20"/>
  <c r="W39" i="20" s="1"/>
  <c r="K39" i="20"/>
  <c r="P38" i="20"/>
  <c r="K38" i="20"/>
  <c r="W33" i="20"/>
  <c r="U33" i="20"/>
  <c r="V33" i="20" s="1"/>
  <c r="S33" i="20"/>
  <c r="W32" i="20"/>
  <c r="U32" i="20"/>
  <c r="V32" i="20" s="1"/>
  <c r="S32" i="20"/>
  <c r="W31" i="20"/>
  <c r="U31" i="20"/>
  <c r="V31" i="20" s="1"/>
  <c r="S31" i="20"/>
  <c r="W30" i="20"/>
  <c r="U30" i="20"/>
  <c r="V30" i="20" s="1"/>
  <c r="S30" i="20"/>
  <c r="W29" i="20"/>
  <c r="U29" i="20"/>
  <c r="V29" i="20" s="1"/>
  <c r="S29" i="20"/>
  <c r="W25" i="20"/>
  <c r="U25" i="20"/>
  <c r="V25" i="20" s="1"/>
  <c r="S25" i="20"/>
  <c r="W24" i="20"/>
  <c r="U24" i="20"/>
  <c r="V24" i="20" s="1"/>
  <c r="S24" i="20"/>
  <c r="W20" i="20"/>
  <c r="U20" i="20"/>
  <c r="V20" i="20" s="1"/>
  <c r="S20" i="20"/>
  <c r="W19" i="20"/>
  <c r="U19" i="20"/>
  <c r="V19" i="20" s="1"/>
  <c r="S19" i="20"/>
  <c r="W15" i="20"/>
  <c r="U15" i="20"/>
  <c r="V15" i="20" s="1"/>
  <c r="S15" i="20"/>
  <c r="W13" i="20"/>
  <c r="U13" i="20"/>
  <c r="V13" i="20" s="1"/>
  <c r="S13" i="20"/>
  <c r="W11" i="20"/>
  <c r="U11" i="20"/>
  <c r="V11" i="20" s="1"/>
  <c r="S11" i="20"/>
  <c r="P37" i="20"/>
  <c r="W37" i="20" s="1"/>
  <c r="K37" i="20"/>
  <c r="W28" i="20"/>
  <c r="U28" i="20"/>
  <c r="V28" i="20" s="1"/>
  <c r="S28" i="20"/>
  <c r="W23" i="20"/>
  <c r="U23" i="20"/>
  <c r="V23" i="20" s="1"/>
  <c r="S23" i="20"/>
  <c r="W22" i="20"/>
  <c r="U22" i="20"/>
  <c r="V22" i="20" s="1"/>
  <c r="S22" i="20"/>
  <c r="W10" i="20"/>
  <c r="U10" i="20"/>
  <c r="V10" i="20" s="1"/>
  <c r="S10" i="20"/>
  <c r="W9" i="20"/>
  <c r="U9" i="20"/>
  <c r="V9" i="20" s="1"/>
  <c r="S9" i="20"/>
  <c r="W54" i="20"/>
  <c r="U54" i="20"/>
  <c r="V54" i="20" s="1"/>
  <c r="S54" i="20"/>
  <c r="M54" i="20"/>
  <c r="W47" i="20"/>
  <c r="U47" i="20"/>
  <c r="V47" i="20" s="1"/>
  <c r="S47" i="20"/>
  <c r="W41" i="20"/>
  <c r="U41" i="20"/>
  <c r="V41" i="20" s="1"/>
  <c r="S41" i="20"/>
  <c r="P36" i="20"/>
  <c r="W36" i="20" s="1"/>
  <c r="K36" i="20"/>
  <c r="W27" i="20"/>
  <c r="U27" i="20"/>
  <c r="S27" i="20"/>
  <c r="W18" i="20"/>
  <c r="U18" i="20"/>
  <c r="V18" i="20" s="1"/>
  <c r="S18" i="20"/>
  <c r="W17" i="20"/>
  <c r="U17" i="20"/>
  <c r="V17" i="20" s="1"/>
  <c r="S17" i="20"/>
  <c r="P287" i="19"/>
  <c r="P289" i="19" s="1"/>
  <c r="L287" i="19"/>
  <c r="K287" i="19"/>
  <c r="V286" i="19"/>
  <c r="T286" i="19"/>
  <c r="U286" i="19" s="1"/>
  <c r="R286" i="19"/>
  <c r="V285" i="19"/>
  <c r="T285" i="19"/>
  <c r="U285" i="19" s="1"/>
  <c r="R285" i="19"/>
  <c r="O284" i="19"/>
  <c r="R284" i="19" s="1"/>
  <c r="J284" i="19"/>
  <c r="O283" i="19"/>
  <c r="V283" i="19" s="1"/>
  <c r="J283" i="19"/>
  <c r="V282" i="19"/>
  <c r="T282" i="19"/>
  <c r="U282" i="19" s="1"/>
  <c r="R282" i="19"/>
  <c r="V281" i="19"/>
  <c r="T281" i="19"/>
  <c r="U281" i="19" s="1"/>
  <c r="R281" i="19"/>
  <c r="V280" i="19"/>
  <c r="T280" i="19"/>
  <c r="U280" i="19" s="1"/>
  <c r="R280" i="19"/>
  <c r="V279" i="19"/>
  <c r="T279" i="19"/>
  <c r="U279" i="19" s="1"/>
  <c r="R279" i="19"/>
  <c r="V278" i="19"/>
  <c r="T278" i="19"/>
  <c r="U278" i="19" s="1"/>
  <c r="R278" i="19"/>
  <c r="V277" i="19"/>
  <c r="T277" i="19"/>
  <c r="U277" i="19" s="1"/>
  <c r="R277" i="19"/>
  <c r="V276" i="19"/>
  <c r="T276" i="19"/>
  <c r="U276" i="19" s="1"/>
  <c r="R276" i="19"/>
  <c r="V275" i="19"/>
  <c r="T275" i="19"/>
  <c r="U275" i="19" s="1"/>
  <c r="R275" i="19"/>
  <c r="V274" i="19"/>
  <c r="T274" i="19"/>
  <c r="U274" i="19" s="1"/>
  <c r="R274" i="19"/>
  <c r="V273" i="19"/>
  <c r="T273" i="19"/>
  <c r="U273" i="19" s="1"/>
  <c r="R273" i="19"/>
  <c r="V272" i="19"/>
  <c r="T272" i="19"/>
  <c r="U272" i="19" s="1"/>
  <c r="R272" i="19"/>
  <c r="V271" i="19"/>
  <c r="T271" i="19"/>
  <c r="U271" i="19" s="1"/>
  <c r="R271" i="19"/>
  <c r="V270" i="19"/>
  <c r="T270" i="19"/>
  <c r="U270" i="19" s="1"/>
  <c r="R270" i="19"/>
  <c r="V269" i="19"/>
  <c r="T269" i="19"/>
  <c r="U269" i="19" s="1"/>
  <c r="R269" i="19"/>
  <c r="V268" i="19"/>
  <c r="T268" i="19"/>
  <c r="R268" i="19"/>
  <c r="P265" i="19"/>
  <c r="O265" i="19"/>
  <c r="L265" i="19"/>
  <c r="J265" i="19"/>
  <c r="V264" i="19"/>
  <c r="T264" i="19"/>
  <c r="U264" i="19" s="1"/>
  <c r="R264" i="19"/>
  <c r="V263" i="19"/>
  <c r="T263" i="19"/>
  <c r="U263" i="19" s="1"/>
  <c r="R263" i="19"/>
  <c r="V262" i="19"/>
  <c r="T262" i="19"/>
  <c r="U262" i="19" s="1"/>
  <c r="R262" i="19"/>
  <c r="V261" i="19"/>
  <c r="T261" i="19"/>
  <c r="U261" i="19" s="1"/>
  <c r="R261" i="19"/>
  <c r="V260" i="19"/>
  <c r="T260" i="19"/>
  <c r="U260" i="19" s="1"/>
  <c r="R260" i="19"/>
  <c r="V259" i="19"/>
  <c r="T259" i="19"/>
  <c r="U259" i="19" s="1"/>
  <c r="R259" i="19"/>
  <c r="V258" i="19"/>
  <c r="T258" i="19"/>
  <c r="U258" i="19" s="1"/>
  <c r="R258" i="19"/>
  <c r="V257" i="19"/>
  <c r="T257" i="19"/>
  <c r="U257" i="19" s="1"/>
  <c r="R257" i="19"/>
  <c r="V256" i="19"/>
  <c r="T256" i="19"/>
  <c r="U256" i="19" s="1"/>
  <c r="R256" i="19"/>
  <c r="V255" i="19"/>
  <c r="T255" i="19"/>
  <c r="U255" i="19" s="1"/>
  <c r="R255" i="19"/>
  <c r="V254" i="19"/>
  <c r="T254" i="19"/>
  <c r="U254" i="19" s="1"/>
  <c r="R254" i="19"/>
  <c r="V253" i="19"/>
  <c r="T253" i="19"/>
  <c r="U253" i="19" s="1"/>
  <c r="R253" i="19"/>
  <c r="V252" i="19"/>
  <c r="T252" i="19"/>
  <c r="U252" i="19" s="1"/>
  <c r="R252" i="19"/>
  <c r="V251" i="19"/>
  <c r="T251" i="19"/>
  <c r="U251" i="19" s="1"/>
  <c r="R251" i="19"/>
  <c r="V250" i="19"/>
  <c r="T250" i="19"/>
  <c r="U250" i="19" s="1"/>
  <c r="R250" i="19"/>
  <c r="V249" i="19"/>
  <c r="T249" i="19"/>
  <c r="R249" i="19"/>
  <c r="O247" i="19"/>
  <c r="J247" i="19"/>
  <c r="V246" i="19"/>
  <c r="T246" i="19"/>
  <c r="U246" i="19" s="1"/>
  <c r="R246" i="19"/>
  <c r="V245" i="19"/>
  <c r="T245" i="19"/>
  <c r="U245" i="19" s="1"/>
  <c r="R245" i="19"/>
  <c r="O243" i="19"/>
  <c r="J243" i="19"/>
  <c r="V242" i="19"/>
  <c r="T242" i="19"/>
  <c r="U242" i="19" s="1"/>
  <c r="R242" i="19"/>
  <c r="V241" i="19"/>
  <c r="T241" i="19"/>
  <c r="U241" i="19" s="1"/>
  <c r="R241" i="19"/>
  <c r="P239" i="19"/>
  <c r="L239" i="19"/>
  <c r="K239" i="19"/>
  <c r="O239" i="19"/>
  <c r="U236" i="19"/>
  <c r="V235" i="19"/>
  <c r="T235" i="19"/>
  <c r="U235" i="19" s="1"/>
  <c r="R235" i="19"/>
  <c r="V234" i="19"/>
  <c r="T234" i="19"/>
  <c r="U234" i="19" s="1"/>
  <c r="R234" i="19"/>
  <c r="V233" i="19"/>
  <c r="T233" i="19"/>
  <c r="U233" i="19" s="1"/>
  <c r="R233" i="19"/>
  <c r="V232" i="19"/>
  <c r="T232" i="19"/>
  <c r="U232" i="19" s="1"/>
  <c r="R232" i="19"/>
  <c r="V231" i="19"/>
  <c r="T231" i="19"/>
  <c r="U231" i="19" s="1"/>
  <c r="R231" i="19"/>
  <c r="V230" i="19"/>
  <c r="T230" i="19"/>
  <c r="U230" i="19" s="1"/>
  <c r="R230" i="19"/>
  <c r="P228" i="19"/>
  <c r="O228" i="19"/>
  <c r="L228" i="19"/>
  <c r="K228" i="19"/>
  <c r="J228" i="19"/>
  <c r="V227" i="19"/>
  <c r="T227" i="19"/>
  <c r="U227" i="19" s="1"/>
  <c r="R227" i="19"/>
  <c r="V226" i="19"/>
  <c r="T226" i="19"/>
  <c r="U226" i="19" s="1"/>
  <c r="R226" i="19"/>
  <c r="V225" i="19"/>
  <c r="T225" i="19"/>
  <c r="U225" i="19" s="1"/>
  <c r="R225" i="19"/>
  <c r="V224" i="19"/>
  <c r="T224" i="19"/>
  <c r="U224" i="19" s="1"/>
  <c r="R224" i="19"/>
  <c r="V223" i="19"/>
  <c r="T223" i="19"/>
  <c r="U223" i="19" s="1"/>
  <c r="R223" i="19"/>
  <c r="V222" i="19"/>
  <c r="T222" i="19"/>
  <c r="U222" i="19" s="1"/>
  <c r="R222" i="19"/>
  <c r="V221" i="19"/>
  <c r="T221" i="19"/>
  <c r="R221" i="19"/>
  <c r="P219" i="19"/>
  <c r="L219" i="19"/>
  <c r="K219" i="19"/>
  <c r="V217" i="19"/>
  <c r="T217" i="19"/>
  <c r="U217" i="19" s="1"/>
  <c r="R217" i="19"/>
  <c r="V218" i="19"/>
  <c r="T218" i="19"/>
  <c r="U218" i="19" s="1"/>
  <c r="R218" i="19"/>
  <c r="L218" i="19"/>
  <c r="O219" i="19"/>
  <c r="J219" i="19"/>
  <c r="V215" i="19"/>
  <c r="T215" i="19"/>
  <c r="U215" i="19" s="1"/>
  <c r="R215" i="19"/>
  <c r="V214" i="19"/>
  <c r="T214" i="19"/>
  <c r="U214" i="19" s="1"/>
  <c r="R214" i="19"/>
  <c r="V213" i="19"/>
  <c r="T213" i="19"/>
  <c r="U213" i="19" s="1"/>
  <c r="R213" i="19"/>
  <c r="V212" i="19"/>
  <c r="T212" i="19"/>
  <c r="U212" i="19" s="1"/>
  <c r="R212" i="19"/>
  <c r="V211" i="19"/>
  <c r="T211" i="19"/>
  <c r="U211" i="19" s="1"/>
  <c r="R211" i="19"/>
  <c r="V210" i="19"/>
  <c r="T210" i="19"/>
  <c r="U210" i="19" s="1"/>
  <c r="R210" i="19"/>
  <c r="V209" i="19"/>
  <c r="T209" i="19"/>
  <c r="U209" i="19" s="1"/>
  <c r="R209" i="19"/>
  <c r="V208" i="19"/>
  <c r="T208" i="19"/>
  <c r="U208" i="19" s="1"/>
  <c r="R208" i="19"/>
  <c r="V207" i="19"/>
  <c r="T207" i="19"/>
  <c r="U207" i="19" s="1"/>
  <c r="R207" i="19"/>
  <c r="V206" i="19"/>
  <c r="T206" i="19"/>
  <c r="U206" i="19" s="1"/>
  <c r="R206" i="19"/>
  <c r="V205" i="19"/>
  <c r="T205" i="19"/>
  <c r="R205" i="19"/>
  <c r="V204" i="19"/>
  <c r="T204" i="19"/>
  <c r="U204" i="19" s="1"/>
  <c r="R204" i="19"/>
  <c r="V203" i="19"/>
  <c r="T203" i="19"/>
  <c r="U203" i="19" s="1"/>
  <c r="R203" i="19"/>
  <c r="P201" i="19"/>
  <c r="O201" i="19"/>
  <c r="L201" i="19"/>
  <c r="K201" i="19"/>
  <c r="J201" i="19"/>
  <c r="V200" i="19"/>
  <c r="T200" i="19"/>
  <c r="U200" i="19" s="1"/>
  <c r="R200" i="19"/>
  <c r="V199" i="19"/>
  <c r="T199" i="19"/>
  <c r="U199" i="19" s="1"/>
  <c r="R199" i="19"/>
  <c r="V198" i="19"/>
  <c r="T198" i="19"/>
  <c r="U198" i="19" s="1"/>
  <c r="R198" i="19"/>
  <c r="V197" i="19"/>
  <c r="T197" i="19"/>
  <c r="U197" i="19" s="1"/>
  <c r="R197" i="19"/>
  <c r="V196" i="19"/>
  <c r="T196" i="19"/>
  <c r="U196" i="19" s="1"/>
  <c r="R196" i="19"/>
  <c r="V195" i="19"/>
  <c r="T195" i="19"/>
  <c r="U195" i="19" s="1"/>
  <c r="R195" i="19"/>
  <c r="V194" i="19"/>
  <c r="T194" i="19"/>
  <c r="U194" i="19" s="1"/>
  <c r="R194" i="19"/>
  <c r="V193" i="19"/>
  <c r="T193" i="19"/>
  <c r="U193" i="19" s="1"/>
  <c r="R193" i="19"/>
  <c r="V192" i="19"/>
  <c r="W192" i="19" s="1"/>
  <c r="T192" i="19"/>
  <c r="U192" i="19" s="1"/>
  <c r="R192" i="19"/>
  <c r="P190" i="19"/>
  <c r="O190" i="19"/>
  <c r="L190" i="19"/>
  <c r="K190" i="19"/>
  <c r="J190" i="19"/>
  <c r="V189" i="19"/>
  <c r="T189" i="19"/>
  <c r="U189" i="19" s="1"/>
  <c r="R189" i="19"/>
  <c r="V188" i="19"/>
  <c r="T188" i="19"/>
  <c r="U188" i="19" s="1"/>
  <c r="R188" i="19"/>
  <c r="V187" i="19"/>
  <c r="T187" i="19"/>
  <c r="U187" i="19" s="1"/>
  <c r="R187" i="19"/>
  <c r="V186" i="19"/>
  <c r="T186" i="19"/>
  <c r="U186" i="19" s="1"/>
  <c r="R186" i="19"/>
  <c r="V185" i="19"/>
  <c r="T185" i="19"/>
  <c r="U185" i="19" s="1"/>
  <c r="R185" i="19"/>
  <c r="V184" i="19"/>
  <c r="T184" i="19"/>
  <c r="U184" i="19" s="1"/>
  <c r="R184" i="19"/>
  <c r="V183" i="19"/>
  <c r="T183" i="19"/>
  <c r="U183" i="19" s="1"/>
  <c r="R183" i="19"/>
  <c r="V182" i="19"/>
  <c r="T182" i="19"/>
  <c r="U182" i="19" s="1"/>
  <c r="R182" i="19"/>
  <c r="V181" i="19"/>
  <c r="T181" i="19"/>
  <c r="R181" i="19"/>
  <c r="V180" i="19"/>
  <c r="T180" i="19"/>
  <c r="R180" i="19"/>
  <c r="P178" i="19"/>
  <c r="O178" i="19"/>
  <c r="L178" i="19"/>
  <c r="K178" i="19"/>
  <c r="J178" i="19"/>
  <c r="V177" i="19"/>
  <c r="T177" i="19"/>
  <c r="U177" i="19" s="1"/>
  <c r="R177" i="19"/>
  <c r="V176" i="19"/>
  <c r="T176" i="19"/>
  <c r="U176" i="19" s="1"/>
  <c r="R176" i="19"/>
  <c r="V175" i="19"/>
  <c r="T175" i="19"/>
  <c r="U175" i="19" s="1"/>
  <c r="R175" i="19"/>
  <c r="V174" i="19"/>
  <c r="T174" i="19"/>
  <c r="U174" i="19" s="1"/>
  <c r="R174" i="19"/>
  <c r="V173" i="19"/>
  <c r="T173" i="19"/>
  <c r="R173" i="19"/>
  <c r="P170" i="19"/>
  <c r="L170" i="19"/>
  <c r="K170" i="19"/>
  <c r="J170" i="19"/>
  <c r="V169" i="19"/>
  <c r="V168" i="19"/>
  <c r="T168" i="19"/>
  <c r="U168" i="19" s="1"/>
  <c r="R168" i="19"/>
  <c r="V167" i="19"/>
  <c r="T167" i="19"/>
  <c r="U167" i="19" s="1"/>
  <c r="R167" i="19"/>
  <c r="V166" i="19"/>
  <c r="T166" i="19"/>
  <c r="U166" i="19" s="1"/>
  <c r="R166" i="19"/>
  <c r="V165" i="19"/>
  <c r="T165" i="19"/>
  <c r="U165" i="19" s="1"/>
  <c r="R165" i="19"/>
  <c r="V164" i="19"/>
  <c r="T164" i="19"/>
  <c r="U164" i="19" s="1"/>
  <c r="R164" i="19"/>
  <c r="V163" i="19"/>
  <c r="T163" i="19"/>
  <c r="U163" i="19" s="1"/>
  <c r="R163" i="19"/>
  <c r="V162" i="19"/>
  <c r="T162" i="19"/>
  <c r="U162" i="19" s="1"/>
  <c r="R162" i="19"/>
  <c r="V161" i="19"/>
  <c r="T161" i="19"/>
  <c r="U161" i="19" s="1"/>
  <c r="R161" i="19"/>
  <c r="V160" i="19"/>
  <c r="T160" i="19"/>
  <c r="U160" i="19" s="1"/>
  <c r="R160" i="19"/>
  <c r="V159" i="19"/>
  <c r="T159" i="19"/>
  <c r="U159" i="19" s="1"/>
  <c r="R159" i="19"/>
  <c r="P157" i="19"/>
  <c r="L157" i="19"/>
  <c r="K157" i="19"/>
  <c r="V156" i="19"/>
  <c r="T156" i="19"/>
  <c r="U156" i="19" s="1"/>
  <c r="R156" i="19"/>
  <c r="V155" i="19"/>
  <c r="T155" i="19"/>
  <c r="U155" i="19" s="1"/>
  <c r="R155" i="19"/>
  <c r="O157" i="19"/>
  <c r="J157" i="19"/>
  <c r="V153" i="19"/>
  <c r="T153" i="19"/>
  <c r="U153" i="19" s="1"/>
  <c r="R153" i="19"/>
  <c r="V152" i="19"/>
  <c r="T152" i="19"/>
  <c r="U152" i="19" s="1"/>
  <c r="R152" i="19"/>
  <c r="V151" i="19"/>
  <c r="T151" i="19"/>
  <c r="U151" i="19" s="1"/>
  <c r="R151" i="19"/>
  <c r="V150" i="19"/>
  <c r="T150" i="19"/>
  <c r="U150" i="19" s="1"/>
  <c r="R150" i="19"/>
  <c r="V149" i="19"/>
  <c r="T149" i="19"/>
  <c r="U149" i="19" s="1"/>
  <c r="R149" i="19"/>
  <c r="V148" i="19"/>
  <c r="T148" i="19"/>
  <c r="U148" i="19" s="1"/>
  <c r="R148" i="19"/>
  <c r="P146" i="19"/>
  <c r="L146" i="19"/>
  <c r="K146" i="19"/>
  <c r="V145" i="19"/>
  <c r="T145" i="19"/>
  <c r="U145" i="19" s="1"/>
  <c r="R145" i="19"/>
  <c r="V144" i="19"/>
  <c r="T144" i="19"/>
  <c r="U144" i="19" s="1"/>
  <c r="R144" i="19"/>
  <c r="V143" i="19"/>
  <c r="T143" i="19"/>
  <c r="U143" i="19" s="1"/>
  <c r="R143" i="19"/>
  <c r="V142" i="19"/>
  <c r="T142" i="19"/>
  <c r="U142" i="19" s="1"/>
  <c r="R142" i="19"/>
  <c r="V141" i="19"/>
  <c r="T141" i="19"/>
  <c r="U141" i="19" s="1"/>
  <c r="R141" i="19"/>
  <c r="V140" i="19"/>
  <c r="T140" i="19"/>
  <c r="U140" i="19" s="1"/>
  <c r="R140" i="19"/>
  <c r="O146" i="19"/>
  <c r="T138" i="19"/>
  <c r="U138" i="19" s="1"/>
  <c r="R138" i="19"/>
  <c r="V137" i="19"/>
  <c r="T137" i="19"/>
  <c r="U137" i="19" s="1"/>
  <c r="R137" i="19"/>
  <c r="V136" i="19"/>
  <c r="T136" i="19"/>
  <c r="U136" i="19" s="1"/>
  <c r="R136" i="19"/>
  <c r="V135" i="19"/>
  <c r="T135" i="19"/>
  <c r="U135" i="19" s="1"/>
  <c r="R135" i="19"/>
  <c r="V134" i="19"/>
  <c r="T134" i="19"/>
  <c r="U134" i="19" s="1"/>
  <c r="R134" i="19"/>
  <c r="V133" i="19"/>
  <c r="T133" i="19"/>
  <c r="U133" i="19" s="1"/>
  <c r="R133" i="19"/>
  <c r="V132" i="19"/>
  <c r="T132" i="19"/>
  <c r="R132" i="19"/>
  <c r="V131" i="19"/>
  <c r="T131" i="19"/>
  <c r="U131" i="19" s="1"/>
  <c r="R131" i="19"/>
  <c r="P128" i="19"/>
  <c r="O128" i="19"/>
  <c r="L128" i="19"/>
  <c r="K128" i="19"/>
  <c r="J128" i="19"/>
  <c r="V127" i="19"/>
  <c r="T127" i="19"/>
  <c r="U127" i="19" s="1"/>
  <c r="R127" i="19"/>
  <c r="V126" i="19"/>
  <c r="T126" i="19"/>
  <c r="U126" i="19" s="1"/>
  <c r="R126" i="19"/>
  <c r="V125" i="19"/>
  <c r="T125" i="19"/>
  <c r="U125" i="19" s="1"/>
  <c r="R125" i="19"/>
  <c r="V124" i="19"/>
  <c r="T124" i="19"/>
  <c r="U124" i="19" s="1"/>
  <c r="R124" i="19"/>
  <c r="V123" i="19"/>
  <c r="T123" i="19"/>
  <c r="U123" i="19" s="1"/>
  <c r="R123" i="19"/>
  <c r="V122" i="19"/>
  <c r="T122" i="19"/>
  <c r="U122" i="19" s="1"/>
  <c r="R122" i="19"/>
  <c r="V121" i="19"/>
  <c r="T121" i="19"/>
  <c r="U121" i="19" s="1"/>
  <c r="R121" i="19"/>
  <c r="V120" i="19"/>
  <c r="T120" i="19"/>
  <c r="U120" i="19" s="1"/>
  <c r="R120" i="19"/>
  <c r="V119" i="19"/>
  <c r="T119" i="19"/>
  <c r="R119" i="19"/>
  <c r="P116" i="19"/>
  <c r="L116" i="19"/>
  <c r="K116" i="19"/>
  <c r="V115" i="19"/>
  <c r="T115" i="19"/>
  <c r="U115" i="19" s="1"/>
  <c r="R115" i="19"/>
  <c r="V114" i="19"/>
  <c r="V113" i="19"/>
  <c r="T113" i="19"/>
  <c r="U113" i="19" s="1"/>
  <c r="R113" i="19"/>
  <c r="V112" i="19"/>
  <c r="T112" i="19"/>
  <c r="U112" i="19" s="1"/>
  <c r="R112" i="19"/>
  <c r="V111" i="19"/>
  <c r="T111" i="19"/>
  <c r="U111" i="19" s="1"/>
  <c r="R111" i="19"/>
  <c r="V110" i="19"/>
  <c r="T110" i="19"/>
  <c r="U110" i="19" s="1"/>
  <c r="R110" i="19"/>
  <c r="V109" i="19"/>
  <c r="T109" i="19"/>
  <c r="U109" i="19" s="1"/>
  <c r="R109" i="19"/>
  <c r="V108" i="19"/>
  <c r="T108" i="19"/>
  <c r="U108" i="19" s="1"/>
  <c r="R108" i="19"/>
  <c r="V105" i="19"/>
  <c r="T105" i="19"/>
  <c r="U105" i="19" s="1"/>
  <c r="R105" i="19"/>
  <c r="V104" i="19"/>
  <c r="T104" i="19"/>
  <c r="R104" i="19"/>
  <c r="P102" i="19"/>
  <c r="O102" i="19"/>
  <c r="K102" i="19"/>
  <c r="J102" i="19"/>
  <c r="V101" i="19"/>
  <c r="T101" i="19"/>
  <c r="U101" i="19" s="1"/>
  <c r="R101" i="19"/>
  <c r="V100" i="19"/>
  <c r="T100" i="19"/>
  <c r="U100" i="19" s="1"/>
  <c r="R100" i="19"/>
  <c r="V99" i="19"/>
  <c r="T99" i="19"/>
  <c r="U99" i="19" s="1"/>
  <c r="R99" i="19"/>
  <c r="V98" i="19"/>
  <c r="T98" i="19"/>
  <c r="U98" i="19" s="1"/>
  <c r="R98" i="19"/>
  <c r="V97" i="19"/>
  <c r="T97" i="19"/>
  <c r="U97" i="19" s="1"/>
  <c r="R97" i="19"/>
  <c r="V96" i="19"/>
  <c r="T96" i="19"/>
  <c r="U96" i="19" s="1"/>
  <c r="R96" i="19"/>
  <c r="V95" i="19"/>
  <c r="T95" i="19"/>
  <c r="U95" i="19" s="1"/>
  <c r="R95" i="19"/>
  <c r="V94" i="19"/>
  <c r="T94" i="19"/>
  <c r="U94" i="19" s="1"/>
  <c r="R94" i="19"/>
  <c r="V93" i="19"/>
  <c r="T93" i="19"/>
  <c r="U93" i="19" s="1"/>
  <c r="R93" i="19"/>
  <c r="V92" i="19"/>
  <c r="T92" i="19"/>
  <c r="U92" i="19" s="1"/>
  <c r="R92" i="19"/>
  <c r="V91" i="19"/>
  <c r="T91" i="19"/>
  <c r="U91" i="19" s="1"/>
  <c r="R91" i="19"/>
  <c r="V90" i="19"/>
  <c r="T90" i="19"/>
  <c r="U90" i="19" s="1"/>
  <c r="R90" i="19"/>
  <c r="V89" i="19"/>
  <c r="T89" i="19"/>
  <c r="U89" i="19" s="1"/>
  <c r="R89" i="19"/>
  <c r="V88" i="19"/>
  <c r="T88" i="19"/>
  <c r="U88" i="19" s="1"/>
  <c r="R88" i="19"/>
  <c r="V87" i="19"/>
  <c r="T87" i="19"/>
  <c r="U87" i="19" s="1"/>
  <c r="R87" i="19"/>
  <c r="P85" i="19"/>
  <c r="K85" i="19"/>
  <c r="V84" i="19"/>
  <c r="T84" i="19"/>
  <c r="U84" i="19" s="1"/>
  <c r="R84" i="19"/>
  <c r="L84" i="19"/>
  <c r="L85" i="19" s="1"/>
  <c r="V83" i="19"/>
  <c r="T83" i="19"/>
  <c r="U83" i="19" s="1"/>
  <c r="R83" i="19"/>
  <c r="V82" i="19"/>
  <c r="T82" i="19"/>
  <c r="U82" i="19" s="1"/>
  <c r="R82" i="19"/>
  <c r="V81" i="19"/>
  <c r="T81" i="19"/>
  <c r="U81" i="19" s="1"/>
  <c r="R81" i="19"/>
  <c r="V80" i="19"/>
  <c r="T80" i="19"/>
  <c r="U80" i="19" s="1"/>
  <c r="R80" i="19"/>
  <c r="V79" i="19"/>
  <c r="J85" i="19"/>
  <c r="V78" i="19"/>
  <c r="T78" i="19"/>
  <c r="U78" i="19" s="1"/>
  <c r="R78" i="19"/>
  <c r="V77" i="19"/>
  <c r="T77" i="19"/>
  <c r="U77" i="19" s="1"/>
  <c r="R77" i="19"/>
  <c r="V76" i="19"/>
  <c r="T76" i="19"/>
  <c r="U76" i="19" s="1"/>
  <c r="R76" i="19"/>
  <c r="V75" i="19"/>
  <c r="T75" i="19"/>
  <c r="U75" i="19" s="1"/>
  <c r="R75" i="19"/>
  <c r="V74" i="19"/>
  <c r="T74" i="19"/>
  <c r="U74" i="19" s="1"/>
  <c r="R74" i="19"/>
  <c r="V73" i="19"/>
  <c r="T73" i="19"/>
  <c r="U73" i="19" s="1"/>
  <c r="R73" i="19"/>
  <c r="P71" i="19"/>
  <c r="L71" i="19"/>
  <c r="K71" i="19"/>
  <c r="V70" i="19"/>
  <c r="T70" i="19"/>
  <c r="U70" i="19" s="1"/>
  <c r="R70" i="19"/>
  <c r="V69" i="19"/>
  <c r="T69" i="19"/>
  <c r="U69" i="19" s="1"/>
  <c r="R69" i="19"/>
  <c r="V68" i="19"/>
  <c r="T68" i="19"/>
  <c r="U68" i="19" s="1"/>
  <c r="R68" i="19"/>
  <c r="V67" i="19"/>
  <c r="T67" i="19"/>
  <c r="U67" i="19" s="1"/>
  <c r="R67" i="19"/>
  <c r="O66" i="19"/>
  <c r="V66" i="19" s="1"/>
  <c r="J66" i="19"/>
  <c r="V65" i="19"/>
  <c r="T65" i="19"/>
  <c r="U65" i="19" s="1"/>
  <c r="R65" i="19"/>
  <c r="V64" i="19"/>
  <c r="T64" i="19"/>
  <c r="U64" i="19" s="1"/>
  <c r="R64" i="19"/>
  <c r="V63" i="19"/>
  <c r="T63" i="19"/>
  <c r="U63" i="19" s="1"/>
  <c r="R63" i="19"/>
  <c r="V62" i="19"/>
  <c r="T62" i="19"/>
  <c r="U62" i="19" s="1"/>
  <c r="R62" i="19"/>
  <c r="O61" i="19"/>
  <c r="V61" i="19" s="1"/>
  <c r="J61" i="19"/>
  <c r="O60" i="19"/>
  <c r="J60" i="19"/>
  <c r="V59" i="19"/>
  <c r="T59" i="19"/>
  <c r="U59" i="19" s="1"/>
  <c r="R59" i="19"/>
  <c r="V58" i="19"/>
  <c r="T58" i="19"/>
  <c r="U58" i="19" s="1"/>
  <c r="R58" i="19"/>
  <c r="V57" i="19"/>
  <c r="T57" i="19"/>
  <c r="U57" i="19" s="1"/>
  <c r="R57" i="19"/>
  <c r="V56" i="19"/>
  <c r="T56" i="19"/>
  <c r="U56" i="19" s="1"/>
  <c r="R56" i="19"/>
  <c r="V55" i="19"/>
  <c r="T55" i="19"/>
  <c r="U55" i="19" s="1"/>
  <c r="R55" i="19"/>
  <c r="O54" i="19"/>
  <c r="V54" i="19" s="1"/>
  <c r="J54" i="19"/>
  <c r="O53" i="19"/>
  <c r="J53" i="19"/>
  <c r="V52" i="19"/>
  <c r="T52" i="19"/>
  <c r="U52" i="19" s="1"/>
  <c r="R52" i="19"/>
  <c r="P50" i="19"/>
  <c r="L50" i="19"/>
  <c r="K50" i="19"/>
  <c r="V49" i="19"/>
  <c r="J50" i="19"/>
  <c r="V48" i="19"/>
  <c r="T48" i="19"/>
  <c r="U48" i="19" s="1"/>
  <c r="R48" i="19"/>
  <c r="V47" i="19"/>
  <c r="T47" i="19"/>
  <c r="U47" i="19" s="1"/>
  <c r="R47" i="19"/>
  <c r="V46" i="19"/>
  <c r="T46" i="19"/>
  <c r="U46" i="19" s="1"/>
  <c r="R46" i="19"/>
  <c r="V45" i="19"/>
  <c r="T45" i="19"/>
  <c r="R45" i="19"/>
  <c r="V44" i="19"/>
  <c r="T44" i="19"/>
  <c r="U44" i="19" s="1"/>
  <c r="R44" i="19"/>
  <c r="P42" i="19"/>
  <c r="L42" i="19"/>
  <c r="K42" i="19"/>
  <c r="O41" i="19"/>
  <c r="V41" i="19" s="1"/>
  <c r="J41" i="19"/>
  <c r="V40" i="19"/>
  <c r="T40" i="19"/>
  <c r="U40" i="19" s="1"/>
  <c r="R40" i="19"/>
  <c r="V39" i="19"/>
  <c r="T39" i="19"/>
  <c r="U39" i="19" s="1"/>
  <c r="R39" i="19"/>
  <c r="V38" i="19"/>
  <c r="T38" i="19"/>
  <c r="U38" i="19" s="1"/>
  <c r="R38" i="19"/>
  <c r="V37" i="19"/>
  <c r="T37" i="19"/>
  <c r="U37" i="19" s="1"/>
  <c r="R37" i="19"/>
  <c r="V36" i="19"/>
  <c r="T36" i="19"/>
  <c r="U36" i="19" s="1"/>
  <c r="R36" i="19"/>
  <c r="V35" i="19"/>
  <c r="T35" i="19"/>
  <c r="U35" i="19" s="1"/>
  <c r="R35" i="19"/>
  <c r="V34" i="19"/>
  <c r="T34" i="19"/>
  <c r="U34" i="19" s="1"/>
  <c r="R34" i="19"/>
  <c r="V33" i="19"/>
  <c r="T33" i="19"/>
  <c r="U33" i="19" s="1"/>
  <c r="R33" i="19"/>
  <c r="V32" i="19"/>
  <c r="T32" i="19"/>
  <c r="U32" i="19" s="1"/>
  <c r="R32" i="19"/>
  <c r="V31" i="19"/>
  <c r="T31" i="19"/>
  <c r="U31" i="19" s="1"/>
  <c r="R31" i="19"/>
  <c r="V30" i="19"/>
  <c r="T30" i="19"/>
  <c r="U30" i="19" s="1"/>
  <c r="R30" i="19"/>
  <c r="V28" i="19"/>
  <c r="V27" i="19"/>
  <c r="V26" i="19"/>
  <c r="T26" i="19"/>
  <c r="U26" i="19" s="1"/>
  <c r="R26" i="19"/>
  <c r="V25" i="19"/>
  <c r="T25" i="19"/>
  <c r="U25" i="19" s="1"/>
  <c r="R25" i="19"/>
  <c r="V24" i="19"/>
  <c r="T24" i="19"/>
  <c r="U24" i="19" s="1"/>
  <c r="R24" i="19"/>
  <c r="V23" i="19"/>
  <c r="T23" i="19"/>
  <c r="U23" i="19" s="1"/>
  <c r="R23" i="19"/>
  <c r="V22" i="19"/>
  <c r="T22" i="19"/>
  <c r="U22" i="19" s="1"/>
  <c r="R22" i="19"/>
  <c r="V21" i="19"/>
  <c r="T21" i="19"/>
  <c r="U21" i="19" s="1"/>
  <c r="R21" i="19"/>
  <c r="V20" i="19"/>
  <c r="T20" i="19"/>
  <c r="U20" i="19" s="1"/>
  <c r="R20" i="19"/>
  <c r="V19" i="19"/>
  <c r="T19" i="19"/>
  <c r="U19" i="19" s="1"/>
  <c r="R19" i="19"/>
  <c r="V18" i="19"/>
  <c r="T18" i="19"/>
  <c r="U18" i="19" s="1"/>
  <c r="R18" i="19"/>
  <c r="V17" i="19"/>
  <c r="T17" i="19"/>
  <c r="U17" i="19" s="1"/>
  <c r="R17" i="19"/>
  <c r="V16" i="19"/>
  <c r="T16" i="19"/>
  <c r="U16" i="19" s="1"/>
  <c r="R16" i="19"/>
  <c r="V15" i="19"/>
  <c r="T15" i="19"/>
  <c r="U15" i="19" s="1"/>
  <c r="R15" i="19"/>
  <c r="V14" i="19"/>
  <c r="T14" i="19"/>
  <c r="U14" i="19" s="1"/>
  <c r="R14" i="19"/>
  <c r="V13" i="19"/>
  <c r="T13" i="19"/>
  <c r="U13" i="19" s="1"/>
  <c r="R13" i="19"/>
  <c r="V12" i="19"/>
  <c r="T12" i="19"/>
  <c r="U12" i="19" s="1"/>
  <c r="R12" i="19"/>
  <c r="V11" i="19"/>
  <c r="T11" i="19"/>
  <c r="U11" i="19" s="1"/>
  <c r="R11" i="19"/>
  <c r="V116" i="18"/>
  <c r="T116" i="18"/>
  <c r="U116" i="18" s="1"/>
  <c r="R116" i="18"/>
  <c r="V115" i="18"/>
  <c r="T115" i="18"/>
  <c r="U115" i="18" s="1"/>
  <c r="R115" i="18"/>
  <c r="V114" i="18"/>
  <c r="T114" i="18"/>
  <c r="U114" i="18" s="1"/>
  <c r="R114" i="18"/>
  <c r="O113" i="18"/>
  <c r="J113" i="18"/>
  <c r="V112" i="18"/>
  <c r="T112" i="18"/>
  <c r="U112" i="18" s="1"/>
  <c r="R112" i="18"/>
  <c r="O111" i="18"/>
  <c r="J111" i="18"/>
  <c r="V110" i="18"/>
  <c r="T110" i="18"/>
  <c r="U110" i="18" s="1"/>
  <c r="R110" i="18"/>
  <c r="V109" i="18"/>
  <c r="T109" i="18"/>
  <c r="U109" i="18" s="1"/>
  <c r="R109" i="18"/>
  <c r="V108" i="18"/>
  <c r="T108" i="18"/>
  <c r="U108" i="18" s="1"/>
  <c r="R108" i="18"/>
  <c r="V107" i="18"/>
  <c r="T107" i="18"/>
  <c r="U107" i="18" s="1"/>
  <c r="R107" i="18"/>
  <c r="V106" i="18"/>
  <c r="T106" i="18"/>
  <c r="U106" i="18" s="1"/>
  <c r="R106" i="18"/>
  <c r="V105" i="18"/>
  <c r="T105" i="18"/>
  <c r="U105" i="18" s="1"/>
  <c r="R105" i="18"/>
  <c r="V104" i="18"/>
  <c r="T104" i="18"/>
  <c r="U104" i="18" s="1"/>
  <c r="R104" i="18"/>
  <c r="V103" i="18"/>
  <c r="T103" i="18"/>
  <c r="U103" i="18" s="1"/>
  <c r="R103" i="18"/>
  <c r="V102" i="18"/>
  <c r="T102" i="18"/>
  <c r="U102" i="18" s="1"/>
  <c r="R102" i="18"/>
  <c r="V101" i="18"/>
  <c r="T101" i="18"/>
  <c r="U101" i="18" s="1"/>
  <c r="R101" i="18"/>
  <c r="V100" i="18"/>
  <c r="T100" i="18"/>
  <c r="U100" i="18" s="1"/>
  <c r="R100" i="18"/>
  <c r="V99" i="18"/>
  <c r="T99" i="18"/>
  <c r="U99" i="18" s="1"/>
  <c r="R99" i="18"/>
  <c r="O98" i="18"/>
  <c r="J98" i="18"/>
  <c r="V97" i="18"/>
  <c r="T97" i="18"/>
  <c r="R97" i="18"/>
  <c r="V96" i="18"/>
  <c r="T96" i="18"/>
  <c r="U96" i="18" s="1"/>
  <c r="R96" i="18"/>
  <c r="V95" i="18"/>
  <c r="T95" i="18"/>
  <c r="U95" i="18" s="1"/>
  <c r="R95" i="18"/>
  <c r="V94" i="18"/>
  <c r="T94" i="18"/>
  <c r="R94" i="18"/>
  <c r="V93" i="18"/>
  <c r="T93" i="18"/>
  <c r="R93" i="18"/>
  <c r="V92" i="18"/>
  <c r="T92" i="18"/>
  <c r="U92" i="18" s="1"/>
  <c r="R92" i="18"/>
  <c r="V147" i="18"/>
  <c r="T147" i="18"/>
  <c r="U147" i="18" s="1"/>
  <c r="R147" i="18"/>
  <c r="V146" i="18"/>
  <c r="T146" i="18"/>
  <c r="R146" i="18"/>
  <c r="V145" i="18"/>
  <c r="T145" i="18"/>
  <c r="R145" i="18"/>
  <c r="V144" i="18"/>
  <c r="T144" i="18"/>
  <c r="U144" i="18" s="1"/>
  <c r="R144" i="18"/>
  <c r="V143" i="18"/>
  <c r="T143" i="18"/>
  <c r="U143" i="18" s="1"/>
  <c r="R143" i="18"/>
  <c r="V142" i="18"/>
  <c r="T142" i="18"/>
  <c r="R142" i="18"/>
  <c r="V141" i="18"/>
  <c r="T141" i="18"/>
  <c r="R141" i="18"/>
  <c r="V140" i="18"/>
  <c r="T140" i="18"/>
  <c r="U140" i="18" s="1"/>
  <c r="R140" i="18"/>
  <c r="V139" i="18"/>
  <c r="T139" i="18"/>
  <c r="U139" i="18" s="1"/>
  <c r="R139" i="18"/>
  <c r="V138" i="18"/>
  <c r="T138" i="18"/>
  <c r="R138" i="18"/>
  <c r="V137" i="18"/>
  <c r="T137" i="18"/>
  <c r="R137" i="18"/>
  <c r="V136" i="18"/>
  <c r="T136" i="18"/>
  <c r="U136" i="18" s="1"/>
  <c r="R136" i="18"/>
  <c r="V135" i="18"/>
  <c r="T135" i="18"/>
  <c r="U135" i="18" s="1"/>
  <c r="R135" i="18"/>
  <c r="V134" i="18"/>
  <c r="T134" i="18"/>
  <c r="R134" i="18"/>
  <c r="V133" i="18"/>
  <c r="T133" i="18"/>
  <c r="R133" i="18"/>
  <c r="V132" i="18"/>
  <c r="T132" i="18"/>
  <c r="U132" i="18" s="1"/>
  <c r="R132" i="18"/>
  <c r="V131" i="18"/>
  <c r="T131" i="18"/>
  <c r="U131" i="18" s="1"/>
  <c r="R131" i="18"/>
  <c r="V130" i="18"/>
  <c r="T130" i="18"/>
  <c r="R130" i="18"/>
  <c r="V129" i="18"/>
  <c r="T129" i="18"/>
  <c r="R129" i="18"/>
  <c r="V128" i="18"/>
  <c r="T128" i="18"/>
  <c r="U128" i="18" s="1"/>
  <c r="R128" i="18"/>
  <c r="O127" i="18"/>
  <c r="V127" i="18" s="1"/>
  <c r="J127" i="18"/>
  <c r="V126" i="18"/>
  <c r="T126" i="18"/>
  <c r="U126" i="18" s="1"/>
  <c r="R126" i="18"/>
  <c r="V125" i="18"/>
  <c r="T125" i="18"/>
  <c r="U125" i="18" s="1"/>
  <c r="R125" i="18"/>
  <c r="V124" i="18"/>
  <c r="T124" i="18"/>
  <c r="U124" i="18" s="1"/>
  <c r="R124" i="18"/>
  <c r="V123" i="18"/>
  <c r="T123" i="18"/>
  <c r="U123" i="18" s="1"/>
  <c r="R123" i="18"/>
  <c r="V122" i="18"/>
  <c r="T122" i="18"/>
  <c r="U122" i="18" s="1"/>
  <c r="R122" i="18"/>
  <c r="V121" i="18"/>
  <c r="T121" i="18"/>
  <c r="U121" i="18" s="1"/>
  <c r="R121" i="18"/>
  <c r="V120" i="18"/>
  <c r="T120" i="18"/>
  <c r="U120" i="18" s="1"/>
  <c r="R120" i="18"/>
  <c r="V119" i="18"/>
  <c r="T119" i="18"/>
  <c r="U119" i="18" s="1"/>
  <c r="R119" i="18"/>
  <c r="V51" i="18"/>
  <c r="H3" i="11"/>
  <c r="D3" i="11"/>
  <c r="H2" i="11"/>
  <c r="D2" i="11"/>
  <c r="N16" i="10"/>
  <c r="M16" i="10"/>
  <c r="K16" i="10"/>
  <c r="J16" i="10"/>
  <c r="H16" i="10"/>
  <c r="G16" i="10"/>
  <c r="F16" i="10"/>
  <c r="D16" i="10"/>
  <c r="C16" i="10"/>
  <c r="B16" i="10"/>
  <c r="N15" i="10"/>
  <c r="M15" i="10"/>
  <c r="K15" i="10"/>
  <c r="J15" i="10"/>
  <c r="H15" i="10"/>
  <c r="G15" i="10"/>
  <c r="F15" i="10"/>
  <c r="D15" i="10"/>
  <c r="C15" i="10"/>
  <c r="B15" i="10"/>
  <c r="H12" i="5"/>
  <c r="G12" i="5"/>
  <c r="I11" i="5"/>
  <c r="H11" i="5"/>
  <c r="G11" i="5"/>
  <c r="C23" i="3"/>
  <c r="C22" i="3"/>
  <c r="A39" i="2"/>
  <c r="R35" i="2"/>
  <c r="Q35" i="2"/>
  <c r="P35" i="2"/>
  <c r="O35" i="2"/>
  <c r="M35" i="2"/>
  <c r="L35" i="2"/>
  <c r="J35" i="2"/>
  <c r="I35" i="2"/>
  <c r="H35" i="2"/>
  <c r="G35" i="2"/>
  <c r="R33" i="2"/>
  <c r="J33" i="2"/>
  <c r="O302" i="1"/>
  <c r="J302" i="1"/>
  <c r="L301" i="1"/>
  <c r="L300" i="1"/>
  <c r="V298" i="1"/>
  <c r="U298" i="1"/>
  <c r="T298" i="1"/>
  <c r="V297" i="1"/>
  <c r="U297" i="1"/>
  <c r="T297" i="1"/>
  <c r="P297" i="1"/>
  <c r="O297" i="1"/>
  <c r="K297" i="1"/>
  <c r="J297" i="1"/>
  <c r="V296" i="1"/>
  <c r="U296" i="1"/>
  <c r="T296" i="1"/>
  <c r="R296" i="1"/>
  <c r="V295" i="1"/>
  <c r="U295" i="1"/>
  <c r="T295" i="1"/>
  <c r="R295" i="1"/>
  <c r="O295" i="1"/>
  <c r="J295" i="1"/>
  <c r="V294" i="1"/>
  <c r="U294" i="1"/>
  <c r="T294" i="1"/>
  <c r="R294" i="1"/>
  <c r="O294" i="1"/>
  <c r="J294" i="1"/>
  <c r="V293" i="1"/>
  <c r="U293" i="1"/>
  <c r="T293" i="1"/>
  <c r="R293" i="1"/>
  <c r="V292" i="1"/>
  <c r="U292" i="1"/>
  <c r="T292" i="1"/>
  <c r="R292" i="1"/>
  <c r="V291" i="1"/>
  <c r="U291" i="1"/>
  <c r="T291" i="1"/>
  <c r="R291" i="1"/>
  <c r="V290" i="1"/>
  <c r="U290" i="1"/>
  <c r="T290" i="1"/>
  <c r="R290" i="1"/>
  <c r="V289" i="1"/>
  <c r="U289" i="1"/>
  <c r="T289" i="1"/>
  <c r="R289" i="1"/>
  <c r="V288" i="1"/>
  <c r="U288" i="1"/>
  <c r="T288" i="1"/>
  <c r="R288" i="1"/>
  <c r="V287" i="1"/>
  <c r="U287" i="1"/>
  <c r="T287" i="1"/>
  <c r="R287" i="1"/>
  <c r="V286" i="1"/>
  <c r="U286" i="1"/>
  <c r="T286" i="1"/>
  <c r="R286" i="1"/>
  <c r="V285" i="1"/>
  <c r="U285" i="1"/>
  <c r="T285" i="1"/>
  <c r="R285" i="1"/>
  <c r="V284" i="1"/>
  <c r="U284" i="1"/>
  <c r="T284" i="1"/>
  <c r="R284" i="1"/>
  <c r="V283" i="1"/>
  <c r="U283" i="1"/>
  <c r="T283" i="1"/>
  <c r="R283" i="1"/>
  <c r="V282" i="1"/>
  <c r="U282" i="1"/>
  <c r="T282" i="1"/>
  <c r="R282" i="1"/>
  <c r="V281" i="1"/>
  <c r="U281" i="1"/>
  <c r="T281" i="1"/>
  <c r="R281" i="1"/>
  <c r="V280" i="1"/>
  <c r="U280" i="1"/>
  <c r="T280" i="1"/>
  <c r="R280" i="1"/>
  <c r="V279" i="1"/>
  <c r="U279" i="1"/>
  <c r="T279" i="1"/>
  <c r="R279" i="1"/>
  <c r="V278" i="1"/>
  <c r="U278" i="1"/>
  <c r="T278" i="1"/>
  <c r="R278" i="1"/>
  <c r="V276" i="1"/>
  <c r="U276" i="1"/>
  <c r="T276" i="1"/>
  <c r="V275" i="1"/>
  <c r="U275" i="1"/>
  <c r="T275" i="1"/>
  <c r="P275" i="1"/>
  <c r="O275" i="1"/>
  <c r="L275" i="1"/>
  <c r="K275" i="1"/>
  <c r="J275" i="1"/>
  <c r="V274" i="1"/>
  <c r="U274" i="1"/>
  <c r="T274" i="1"/>
  <c r="R274" i="1"/>
  <c r="V273" i="1"/>
  <c r="U273" i="1"/>
  <c r="T273" i="1"/>
  <c r="R273" i="1"/>
  <c r="V272" i="1"/>
  <c r="U272" i="1"/>
  <c r="T272" i="1"/>
  <c r="R272" i="1"/>
  <c r="V271" i="1"/>
  <c r="U271" i="1"/>
  <c r="T271" i="1"/>
  <c r="R271" i="1"/>
  <c r="V270" i="1"/>
  <c r="U270" i="1"/>
  <c r="T270" i="1"/>
  <c r="R270" i="1"/>
  <c r="V269" i="1"/>
  <c r="U269" i="1"/>
  <c r="T269" i="1"/>
  <c r="R269" i="1"/>
  <c r="V268" i="1"/>
  <c r="U268" i="1"/>
  <c r="T268" i="1"/>
  <c r="R268" i="1"/>
  <c r="V267" i="1"/>
  <c r="U267" i="1"/>
  <c r="T267" i="1"/>
  <c r="R267" i="1"/>
  <c r="V266" i="1"/>
  <c r="U266" i="1"/>
  <c r="T266" i="1"/>
  <c r="R266" i="1"/>
  <c r="V265" i="1"/>
  <c r="U265" i="1"/>
  <c r="T265" i="1"/>
  <c r="R265" i="1"/>
  <c r="V264" i="1"/>
  <c r="U264" i="1"/>
  <c r="T264" i="1"/>
  <c r="R264" i="1"/>
  <c r="V263" i="1"/>
  <c r="U263" i="1"/>
  <c r="T263" i="1"/>
  <c r="R263" i="1"/>
  <c r="V262" i="1"/>
  <c r="U262" i="1"/>
  <c r="T262" i="1"/>
  <c r="R262" i="1"/>
  <c r="V261" i="1"/>
  <c r="U261" i="1"/>
  <c r="T261" i="1"/>
  <c r="R261" i="1"/>
  <c r="V260" i="1"/>
  <c r="U260" i="1"/>
  <c r="T260" i="1"/>
  <c r="R260" i="1"/>
  <c r="V259" i="1"/>
  <c r="U259" i="1"/>
  <c r="T259" i="1"/>
  <c r="R259" i="1"/>
  <c r="V258" i="1"/>
  <c r="U258" i="1"/>
  <c r="T258" i="1"/>
  <c r="V257" i="1"/>
  <c r="U257" i="1"/>
  <c r="T257" i="1"/>
  <c r="O257" i="1"/>
  <c r="J257" i="1"/>
  <c r="V256" i="1"/>
  <c r="U256" i="1"/>
  <c r="T256" i="1"/>
  <c r="R256" i="1"/>
  <c r="V255" i="1"/>
  <c r="U255" i="1"/>
  <c r="T255" i="1"/>
  <c r="R255" i="1"/>
  <c r="V254" i="1"/>
  <c r="U254" i="1"/>
  <c r="T254" i="1"/>
  <c r="V253" i="1"/>
  <c r="U253" i="1"/>
  <c r="T253" i="1"/>
  <c r="O253" i="1"/>
  <c r="J253" i="1"/>
  <c r="V252" i="1"/>
  <c r="U252" i="1"/>
  <c r="T252" i="1"/>
  <c r="R252" i="1"/>
  <c r="V251" i="1"/>
  <c r="U251" i="1"/>
  <c r="T251" i="1"/>
  <c r="R251" i="1"/>
  <c r="V250" i="1"/>
  <c r="U250" i="1"/>
  <c r="T250" i="1"/>
  <c r="V249" i="1"/>
  <c r="U249" i="1"/>
  <c r="T249" i="1"/>
  <c r="O249" i="1"/>
  <c r="J249" i="1"/>
  <c r="V248" i="1"/>
  <c r="U248" i="1"/>
  <c r="T248" i="1"/>
  <c r="R248" i="1"/>
  <c r="O248" i="1"/>
  <c r="J248" i="1"/>
  <c r="U247" i="1"/>
  <c r="T247" i="1"/>
  <c r="R247" i="1"/>
  <c r="J247" i="1"/>
  <c r="U246" i="1"/>
  <c r="V245" i="1"/>
  <c r="U245" i="1"/>
  <c r="T245" i="1"/>
  <c r="R245" i="1"/>
  <c r="V244" i="1"/>
  <c r="U244" i="1"/>
  <c r="T244" i="1"/>
  <c r="R244" i="1"/>
  <c r="V243" i="1"/>
  <c r="U243" i="1"/>
  <c r="T243" i="1"/>
  <c r="R243" i="1"/>
  <c r="V242" i="1"/>
  <c r="U242" i="1"/>
  <c r="T242" i="1"/>
  <c r="R242" i="1"/>
  <c r="V241" i="1"/>
  <c r="U241" i="1"/>
  <c r="T241" i="1"/>
  <c r="R241" i="1"/>
  <c r="V240" i="1"/>
  <c r="U240" i="1"/>
  <c r="T240" i="1"/>
  <c r="R240" i="1"/>
  <c r="V239" i="1"/>
  <c r="U239" i="1"/>
  <c r="T239" i="1"/>
  <c r="V238" i="1"/>
  <c r="U238" i="1"/>
  <c r="T238" i="1"/>
  <c r="O238" i="1"/>
  <c r="J238" i="1"/>
  <c r="V237" i="1"/>
  <c r="U237" i="1"/>
  <c r="T237" i="1"/>
  <c r="R237" i="1"/>
  <c r="V236" i="1"/>
  <c r="U236" i="1"/>
  <c r="T236" i="1"/>
  <c r="R236" i="1"/>
  <c r="V235" i="1"/>
  <c r="U235" i="1"/>
  <c r="T235" i="1"/>
  <c r="R235" i="1"/>
  <c r="V234" i="1"/>
  <c r="U234" i="1"/>
  <c r="T234" i="1"/>
  <c r="R234" i="1"/>
  <c r="V233" i="1"/>
  <c r="U233" i="1"/>
  <c r="T233" i="1"/>
  <c r="R233" i="1"/>
  <c r="V232" i="1"/>
  <c r="U232" i="1"/>
  <c r="T232" i="1"/>
  <c r="R232" i="1"/>
  <c r="V231" i="1"/>
  <c r="U231" i="1"/>
  <c r="T231" i="1"/>
  <c r="R231" i="1"/>
  <c r="V230" i="1"/>
  <c r="U230" i="1"/>
  <c r="T230" i="1"/>
  <c r="V229" i="1"/>
  <c r="U229" i="1"/>
  <c r="T229" i="1"/>
  <c r="P229" i="1"/>
  <c r="O229" i="1"/>
  <c r="L229" i="1"/>
  <c r="K229" i="1"/>
  <c r="J229" i="1"/>
  <c r="V228" i="1"/>
  <c r="U228" i="1"/>
  <c r="T228" i="1"/>
  <c r="R228" i="1"/>
  <c r="O228" i="1"/>
  <c r="J228" i="1"/>
  <c r="V227" i="1"/>
  <c r="U227" i="1"/>
  <c r="T227" i="1"/>
  <c r="R227" i="1"/>
  <c r="V226" i="1"/>
  <c r="U226" i="1"/>
  <c r="T226" i="1"/>
  <c r="R226" i="1"/>
  <c r="V225" i="1"/>
  <c r="U225" i="1"/>
  <c r="T225" i="1"/>
  <c r="R225" i="1"/>
  <c r="V224" i="1"/>
  <c r="U224" i="1"/>
  <c r="T224" i="1"/>
  <c r="R224" i="1"/>
  <c r="V223" i="1"/>
  <c r="U223" i="1"/>
  <c r="T223" i="1"/>
  <c r="R223" i="1"/>
  <c r="V222" i="1"/>
  <c r="U222" i="1"/>
  <c r="T222" i="1"/>
  <c r="R222" i="1"/>
  <c r="V221" i="1"/>
  <c r="U221" i="1"/>
  <c r="T221" i="1"/>
  <c r="R221" i="1"/>
  <c r="V220" i="1"/>
  <c r="U220" i="1"/>
  <c r="T220" i="1"/>
  <c r="R220" i="1"/>
  <c r="V219" i="1"/>
  <c r="U219" i="1"/>
  <c r="T219" i="1"/>
  <c r="R219" i="1"/>
  <c r="V218" i="1"/>
  <c r="U218" i="1"/>
  <c r="T218" i="1"/>
  <c r="R218" i="1"/>
  <c r="V217" i="1"/>
  <c r="U217" i="1"/>
  <c r="T217" i="1"/>
  <c r="R217" i="1"/>
  <c r="V216" i="1"/>
  <c r="U216" i="1"/>
  <c r="T216" i="1"/>
  <c r="R216" i="1"/>
  <c r="V215" i="1"/>
  <c r="U215" i="1"/>
  <c r="T215" i="1"/>
  <c r="R215" i="1"/>
  <c r="V214" i="1"/>
  <c r="U214" i="1"/>
  <c r="T214" i="1"/>
  <c r="R214" i="1"/>
  <c r="V213" i="1"/>
  <c r="U213" i="1"/>
  <c r="T213" i="1"/>
  <c r="V212" i="1"/>
  <c r="U212" i="1"/>
  <c r="T212" i="1"/>
  <c r="P212" i="1"/>
  <c r="O212" i="1"/>
  <c r="L212" i="1"/>
  <c r="K212" i="1"/>
  <c r="J212" i="1"/>
  <c r="V211" i="1"/>
  <c r="U211" i="1"/>
  <c r="T211" i="1"/>
  <c r="R211" i="1"/>
  <c r="V210" i="1"/>
  <c r="U210" i="1"/>
  <c r="T210" i="1"/>
  <c r="R210" i="1"/>
  <c r="V209" i="1"/>
  <c r="U209" i="1"/>
  <c r="T209" i="1"/>
  <c r="R209" i="1"/>
  <c r="V208" i="1"/>
  <c r="U208" i="1"/>
  <c r="T208" i="1"/>
  <c r="R208" i="1"/>
  <c r="V207" i="1"/>
  <c r="U207" i="1"/>
  <c r="T207" i="1"/>
  <c r="R207" i="1"/>
  <c r="V206" i="1"/>
  <c r="U206" i="1"/>
  <c r="T206" i="1"/>
  <c r="R206" i="1"/>
  <c r="V205" i="1"/>
  <c r="U205" i="1"/>
  <c r="T205" i="1"/>
  <c r="R205" i="1"/>
  <c r="V204" i="1"/>
  <c r="U204" i="1"/>
  <c r="T204" i="1"/>
  <c r="R204" i="1"/>
  <c r="V203" i="1"/>
  <c r="U203" i="1"/>
  <c r="T203" i="1"/>
  <c r="R203" i="1"/>
  <c r="V202" i="1"/>
  <c r="U202" i="1"/>
  <c r="T202" i="1"/>
  <c r="V201" i="1"/>
  <c r="U201" i="1"/>
  <c r="T201" i="1"/>
  <c r="P201" i="1"/>
  <c r="O201" i="1"/>
  <c r="L201" i="1"/>
  <c r="K201" i="1"/>
  <c r="J201" i="1"/>
  <c r="V200" i="1"/>
  <c r="U200" i="1"/>
  <c r="T200" i="1"/>
  <c r="R200" i="1"/>
  <c r="V199" i="1"/>
  <c r="U199" i="1"/>
  <c r="T199" i="1"/>
  <c r="R199" i="1"/>
  <c r="V198" i="1"/>
  <c r="U198" i="1"/>
  <c r="T198" i="1"/>
  <c r="R198" i="1"/>
  <c r="V197" i="1"/>
  <c r="U197" i="1"/>
  <c r="T197" i="1"/>
  <c r="R197" i="1"/>
  <c r="V196" i="1"/>
  <c r="U196" i="1"/>
  <c r="T196" i="1"/>
  <c r="R196" i="1"/>
  <c r="V195" i="1"/>
  <c r="U195" i="1"/>
  <c r="T195" i="1"/>
  <c r="R195" i="1"/>
  <c r="V194" i="1"/>
  <c r="U194" i="1"/>
  <c r="T194" i="1"/>
  <c r="R194" i="1"/>
  <c r="V193" i="1"/>
  <c r="U193" i="1"/>
  <c r="T193" i="1"/>
  <c r="R193" i="1"/>
  <c r="V192" i="1"/>
  <c r="U192" i="1"/>
  <c r="T192" i="1"/>
  <c r="R192" i="1"/>
  <c r="V191" i="1"/>
  <c r="U191" i="1"/>
  <c r="T191" i="1"/>
  <c r="R191" i="1"/>
  <c r="V190" i="1"/>
  <c r="U190" i="1"/>
  <c r="T190" i="1"/>
  <c r="V189" i="1"/>
  <c r="U189" i="1"/>
  <c r="T189" i="1"/>
  <c r="P189" i="1"/>
  <c r="O189" i="1"/>
  <c r="L189" i="1"/>
  <c r="K189" i="1"/>
  <c r="J189" i="1"/>
  <c r="V188" i="1"/>
  <c r="U188" i="1"/>
  <c r="T188" i="1"/>
  <c r="R188" i="1"/>
  <c r="V187" i="1"/>
  <c r="U187" i="1"/>
  <c r="T187" i="1"/>
  <c r="R187" i="1"/>
  <c r="V186" i="1"/>
  <c r="U186" i="1"/>
  <c r="T186" i="1"/>
  <c r="R186" i="1"/>
  <c r="V185" i="1"/>
  <c r="U185" i="1"/>
  <c r="T185" i="1"/>
  <c r="R185" i="1"/>
  <c r="V184" i="1"/>
  <c r="U184" i="1"/>
  <c r="T184" i="1"/>
  <c r="R184" i="1"/>
  <c r="V183" i="1"/>
  <c r="U183" i="1"/>
  <c r="T183" i="1"/>
  <c r="R183" i="1"/>
  <c r="V182" i="1"/>
  <c r="U182" i="1"/>
  <c r="T182" i="1"/>
  <c r="R182" i="1"/>
  <c r="V181" i="1"/>
  <c r="U181" i="1"/>
  <c r="T181" i="1"/>
  <c r="R181" i="1"/>
  <c r="V179" i="1"/>
  <c r="U179" i="1"/>
  <c r="T179" i="1"/>
  <c r="V178" i="1"/>
  <c r="U178" i="1"/>
  <c r="T178" i="1"/>
  <c r="P178" i="1"/>
  <c r="O178" i="1"/>
  <c r="L178" i="1"/>
  <c r="K178" i="1"/>
  <c r="J178" i="1"/>
  <c r="V177" i="1"/>
  <c r="U177" i="1"/>
  <c r="T177" i="1"/>
  <c r="V176" i="1"/>
  <c r="U176" i="1"/>
  <c r="T176" i="1"/>
  <c r="O176" i="1"/>
  <c r="J176" i="1"/>
  <c r="V175" i="1"/>
  <c r="U175" i="1"/>
  <c r="T175" i="1"/>
  <c r="R175" i="1"/>
  <c r="V174" i="1"/>
  <c r="U174" i="1"/>
  <c r="T174" i="1"/>
  <c r="R174" i="1"/>
  <c r="V173" i="1"/>
  <c r="U173" i="1"/>
  <c r="T173" i="1"/>
  <c r="R173" i="1"/>
  <c r="V172" i="1"/>
  <c r="U172" i="1"/>
  <c r="T172" i="1"/>
  <c r="R172" i="1"/>
  <c r="V171" i="1"/>
  <c r="U171" i="1"/>
  <c r="T171" i="1"/>
  <c r="R171" i="1"/>
  <c r="V170" i="1"/>
  <c r="U170" i="1"/>
  <c r="T170" i="1"/>
  <c r="R170" i="1"/>
  <c r="V169" i="1"/>
  <c r="U169" i="1"/>
  <c r="T169" i="1"/>
  <c r="R169" i="1"/>
  <c r="V168" i="1"/>
  <c r="U168" i="1"/>
  <c r="T168" i="1"/>
  <c r="R168" i="1"/>
  <c r="V167" i="1"/>
  <c r="U167" i="1"/>
  <c r="T167" i="1"/>
  <c r="R167" i="1"/>
  <c r="V166" i="1"/>
  <c r="U166" i="1"/>
  <c r="T166" i="1"/>
  <c r="R166" i="1"/>
  <c r="V165" i="1"/>
  <c r="U165" i="1"/>
  <c r="T165" i="1"/>
  <c r="W164" i="1"/>
  <c r="V164" i="1"/>
  <c r="U164" i="1"/>
  <c r="T164" i="1"/>
  <c r="P164" i="1"/>
  <c r="O164" i="1"/>
  <c r="L164" i="1"/>
  <c r="K164" i="1"/>
  <c r="J164" i="1"/>
  <c r="V163" i="1"/>
  <c r="U163" i="1"/>
  <c r="T163" i="1"/>
  <c r="R163" i="1"/>
  <c r="V162" i="1"/>
  <c r="U162" i="1"/>
  <c r="T162" i="1"/>
  <c r="R162" i="1"/>
  <c r="V161" i="1"/>
  <c r="U161" i="1"/>
  <c r="T161" i="1"/>
  <c r="R161" i="1"/>
  <c r="O161" i="1"/>
  <c r="J161" i="1"/>
  <c r="V160" i="1"/>
  <c r="U160" i="1"/>
  <c r="T160" i="1"/>
  <c r="R160" i="1"/>
  <c r="V159" i="1"/>
  <c r="U159" i="1"/>
  <c r="T159" i="1"/>
  <c r="R159" i="1"/>
  <c r="V158" i="1"/>
  <c r="U158" i="1"/>
  <c r="T158" i="1"/>
  <c r="R158" i="1"/>
  <c r="V157" i="1"/>
  <c r="U157" i="1"/>
  <c r="T157" i="1"/>
  <c r="R157" i="1"/>
  <c r="V156" i="1"/>
  <c r="U156" i="1"/>
  <c r="T156" i="1"/>
  <c r="R156" i="1"/>
  <c r="V155" i="1"/>
  <c r="U155" i="1"/>
  <c r="T155" i="1"/>
  <c r="R155" i="1"/>
  <c r="V154" i="1"/>
  <c r="U154" i="1"/>
  <c r="T154" i="1"/>
  <c r="R154" i="1"/>
  <c r="V153" i="1"/>
  <c r="U153" i="1"/>
  <c r="T153" i="1"/>
  <c r="R153" i="1"/>
  <c r="V152" i="1"/>
  <c r="U152" i="1"/>
  <c r="T152" i="1"/>
  <c r="V151" i="1"/>
  <c r="U151" i="1"/>
  <c r="T151" i="1"/>
  <c r="P151" i="1"/>
  <c r="O151" i="1"/>
  <c r="L151" i="1"/>
  <c r="K151" i="1"/>
  <c r="J151" i="1"/>
  <c r="V150" i="1"/>
  <c r="U150" i="1"/>
  <c r="T150" i="1"/>
  <c r="R150" i="1"/>
  <c r="O150" i="1"/>
  <c r="J150" i="1"/>
  <c r="V149" i="1"/>
  <c r="U149" i="1"/>
  <c r="T149" i="1"/>
  <c r="R149" i="1"/>
  <c r="V148" i="1"/>
  <c r="U148" i="1"/>
  <c r="T148" i="1"/>
  <c r="R148" i="1"/>
  <c r="V147" i="1"/>
  <c r="U147" i="1"/>
  <c r="T147" i="1"/>
  <c r="R147" i="1"/>
  <c r="V146" i="1"/>
  <c r="U146" i="1"/>
  <c r="T146" i="1"/>
  <c r="R146" i="1"/>
  <c r="V145" i="1"/>
  <c r="U145" i="1"/>
  <c r="T145" i="1"/>
  <c r="R145" i="1"/>
  <c r="V144" i="1"/>
  <c r="U144" i="1"/>
  <c r="T144" i="1"/>
  <c r="R144" i="1"/>
  <c r="V143" i="1"/>
  <c r="U143" i="1"/>
  <c r="T143" i="1"/>
  <c r="R143" i="1"/>
  <c r="V142" i="1"/>
  <c r="U142" i="1"/>
  <c r="T142" i="1"/>
  <c r="R142" i="1"/>
  <c r="V141" i="1"/>
  <c r="U141" i="1"/>
  <c r="T141" i="1"/>
  <c r="R141" i="1"/>
  <c r="V140" i="1"/>
  <c r="U140" i="1"/>
  <c r="T140" i="1"/>
  <c r="R140" i="1"/>
  <c r="V139" i="1"/>
  <c r="U139" i="1"/>
  <c r="T139" i="1"/>
  <c r="R139" i="1"/>
  <c r="V138" i="1"/>
  <c r="U138" i="1"/>
  <c r="T138" i="1"/>
  <c r="R138" i="1"/>
  <c r="V137" i="1"/>
  <c r="U137" i="1"/>
  <c r="T137" i="1"/>
  <c r="R137" i="1"/>
  <c r="V136" i="1"/>
  <c r="U136" i="1"/>
  <c r="T136" i="1"/>
  <c r="R136" i="1"/>
  <c r="V134" i="1"/>
  <c r="U134" i="1"/>
  <c r="T134" i="1"/>
  <c r="V133" i="1"/>
  <c r="U133" i="1"/>
  <c r="T133" i="1"/>
  <c r="P133" i="1"/>
  <c r="O133" i="1"/>
  <c r="L133" i="1"/>
  <c r="K133" i="1"/>
  <c r="J133" i="1"/>
  <c r="V132" i="1"/>
  <c r="U132" i="1"/>
  <c r="T132" i="1"/>
  <c r="R132" i="1"/>
  <c r="V131" i="1"/>
  <c r="U131" i="1"/>
  <c r="T131" i="1"/>
  <c r="R131" i="1"/>
  <c r="V130" i="1"/>
  <c r="U130" i="1"/>
  <c r="T130" i="1"/>
  <c r="R130" i="1"/>
  <c r="V129" i="1"/>
  <c r="U129" i="1"/>
  <c r="T129" i="1"/>
  <c r="R129" i="1"/>
  <c r="V128" i="1"/>
  <c r="U128" i="1"/>
  <c r="T128" i="1"/>
  <c r="R128" i="1"/>
  <c r="V127" i="1"/>
  <c r="U127" i="1"/>
  <c r="T127" i="1"/>
  <c r="R127" i="1"/>
  <c r="V126" i="1"/>
  <c r="U126" i="1"/>
  <c r="T126" i="1"/>
  <c r="R126" i="1"/>
  <c r="V125" i="1"/>
  <c r="U125" i="1"/>
  <c r="T125" i="1"/>
  <c r="R125" i="1"/>
  <c r="V124" i="1"/>
  <c r="U124" i="1"/>
  <c r="T124" i="1"/>
  <c r="R124" i="1"/>
  <c r="V123" i="1"/>
  <c r="U123" i="1"/>
  <c r="T123" i="1"/>
  <c r="R123" i="1"/>
  <c r="V121" i="1"/>
  <c r="U121" i="1"/>
  <c r="T121" i="1"/>
  <c r="W120" i="1"/>
  <c r="V120" i="1"/>
  <c r="U120" i="1"/>
  <c r="T120" i="1"/>
  <c r="P120" i="1"/>
  <c r="O120" i="1"/>
  <c r="L120" i="1"/>
  <c r="K120" i="1"/>
  <c r="J120" i="1"/>
  <c r="V119" i="1"/>
  <c r="U119" i="1"/>
  <c r="T119" i="1"/>
  <c r="R119" i="1"/>
  <c r="V118" i="1"/>
  <c r="U118" i="1"/>
  <c r="T118" i="1"/>
  <c r="R118" i="1"/>
  <c r="O118" i="1"/>
  <c r="J118" i="1"/>
  <c r="V117" i="1"/>
  <c r="U117" i="1"/>
  <c r="T117" i="1"/>
  <c r="R117" i="1"/>
  <c r="V116" i="1"/>
  <c r="U116" i="1"/>
  <c r="T116" i="1"/>
  <c r="R116" i="1"/>
  <c r="V115" i="1"/>
  <c r="U115" i="1"/>
  <c r="T115" i="1"/>
  <c r="R115" i="1"/>
  <c r="V114" i="1"/>
  <c r="U114" i="1"/>
  <c r="T114" i="1"/>
  <c r="R114" i="1"/>
  <c r="V113" i="1"/>
  <c r="U113" i="1"/>
  <c r="T113" i="1"/>
  <c r="R113" i="1"/>
  <c r="V112" i="1"/>
  <c r="U112" i="1"/>
  <c r="T112" i="1"/>
  <c r="R112" i="1"/>
  <c r="V109" i="1"/>
  <c r="U109" i="1"/>
  <c r="T109" i="1"/>
  <c r="R109" i="1"/>
  <c r="V108" i="1"/>
  <c r="U108" i="1"/>
  <c r="T108" i="1"/>
  <c r="R108" i="1"/>
  <c r="V106" i="1"/>
  <c r="U106" i="1"/>
  <c r="T106" i="1"/>
  <c r="V105" i="1"/>
  <c r="U105" i="1"/>
  <c r="T105" i="1"/>
  <c r="P105" i="1"/>
  <c r="O105" i="1"/>
  <c r="K105" i="1"/>
  <c r="J105" i="1"/>
  <c r="V104" i="1"/>
  <c r="U104" i="1"/>
  <c r="T104" i="1"/>
  <c r="R104" i="1"/>
  <c r="V103" i="1"/>
  <c r="U103" i="1"/>
  <c r="T103" i="1"/>
  <c r="R103" i="1"/>
  <c r="V102" i="1"/>
  <c r="U102" i="1"/>
  <c r="T102" i="1"/>
  <c r="R102" i="1"/>
  <c r="V101" i="1"/>
  <c r="U101" i="1"/>
  <c r="T101" i="1"/>
  <c r="R101" i="1"/>
  <c r="V100" i="1"/>
  <c r="U100" i="1"/>
  <c r="T100" i="1"/>
  <c r="R100" i="1"/>
  <c r="V99" i="1"/>
  <c r="U99" i="1"/>
  <c r="T99" i="1"/>
  <c r="R99" i="1"/>
  <c r="V98" i="1"/>
  <c r="U98" i="1"/>
  <c r="T98" i="1"/>
  <c r="R98" i="1"/>
  <c r="V97" i="1"/>
  <c r="U97" i="1"/>
  <c r="T97" i="1"/>
  <c r="R97" i="1"/>
  <c r="V96" i="1"/>
  <c r="U96" i="1"/>
  <c r="T96" i="1"/>
  <c r="R96" i="1"/>
  <c r="V95" i="1"/>
  <c r="U95" i="1"/>
  <c r="T95" i="1"/>
  <c r="R95" i="1"/>
  <c r="V94" i="1"/>
  <c r="U94" i="1"/>
  <c r="T94" i="1"/>
  <c r="R94" i="1"/>
  <c r="V93" i="1"/>
  <c r="U93" i="1"/>
  <c r="T93" i="1"/>
  <c r="R93" i="1"/>
  <c r="V92" i="1"/>
  <c r="U92" i="1"/>
  <c r="T92" i="1"/>
  <c r="R92" i="1"/>
  <c r="V91" i="1"/>
  <c r="U91" i="1"/>
  <c r="T91" i="1"/>
  <c r="R91" i="1"/>
  <c r="V90" i="1"/>
  <c r="U90" i="1"/>
  <c r="T90" i="1"/>
  <c r="R90" i="1"/>
  <c r="V89" i="1"/>
  <c r="U89" i="1"/>
  <c r="T89" i="1"/>
  <c r="V88" i="1"/>
  <c r="U88" i="1"/>
  <c r="T88" i="1"/>
  <c r="P88" i="1"/>
  <c r="O88" i="1"/>
  <c r="L88" i="1"/>
  <c r="K88" i="1"/>
  <c r="J88" i="1"/>
  <c r="V87" i="1"/>
  <c r="U87" i="1"/>
  <c r="T87" i="1"/>
  <c r="R87" i="1"/>
  <c r="V86" i="1"/>
  <c r="U86" i="1"/>
  <c r="T86" i="1"/>
  <c r="R86" i="1"/>
  <c r="V85" i="1"/>
  <c r="U85" i="1"/>
  <c r="T85" i="1"/>
  <c r="R85" i="1"/>
  <c r="O85" i="1"/>
  <c r="J85" i="1"/>
  <c r="V84" i="1"/>
  <c r="U84" i="1"/>
  <c r="T84" i="1"/>
  <c r="R84" i="1"/>
  <c r="V83" i="1"/>
  <c r="U83" i="1"/>
  <c r="T83" i="1"/>
  <c r="R83" i="1"/>
  <c r="V82" i="1"/>
  <c r="U82" i="1"/>
  <c r="T82" i="1"/>
  <c r="R82" i="1"/>
  <c r="V81" i="1"/>
  <c r="U81" i="1"/>
  <c r="T81" i="1"/>
  <c r="R81" i="1"/>
  <c r="V80" i="1"/>
  <c r="U80" i="1"/>
  <c r="T80" i="1"/>
  <c r="R80" i="1"/>
  <c r="L80" i="1"/>
  <c r="V79" i="1"/>
  <c r="U79" i="1"/>
  <c r="T79" i="1"/>
  <c r="R79" i="1"/>
  <c r="V78" i="1"/>
  <c r="U78" i="1"/>
  <c r="T78" i="1"/>
  <c r="R78" i="1"/>
  <c r="V77" i="1"/>
  <c r="U77" i="1"/>
  <c r="T77" i="1"/>
  <c r="R77" i="1"/>
  <c r="V76" i="1"/>
  <c r="U76" i="1"/>
  <c r="T76" i="1"/>
  <c r="R76" i="1"/>
  <c r="V75" i="1"/>
  <c r="U75" i="1"/>
  <c r="T75" i="1"/>
  <c r="R75" i="1"/>
  <c r="V74" i="1"/>
  <c r="U74" i="1"/>
  <c r="T74" i="1"/>
  <c r="R74" i="1"/>
  <c r="V73" i="1"/>
  <c r="U73" i="1"/>
  <c r="T73" i="1"/>
  <c r="V72" i="1"/>
  <c r="U72" i="1"/>
  <c r="T72" i="1"/>
  <c r="P72" i="1"/>
  <c r="O72" i="1"/>
  <c r="L72" i="1"/>
  <c r="K72" i="1"/>
  <c r="J72" i="1"/>
  <c r="V71" i="1"/>
  <c r="U71" i="1"/>
  <c r="T71" i="1"/>
  <c r="R71" i="1"/>
  <c r="O71" i="1"/>
  <c r="J71" i="1"/>
  <c r="V70" i="1"/>
  <c r="U70" i="1"/>
  <c r="T70" i="1"/>
  <c r="R70" i="1"/>
  <c r="O70" i="1"/>
  <c r="J70" i="1"/>
  <c r="V69" i="1"/>
  <c r="U69" i="1"/>
  <c r="T69" i="1"/>
  <c r="R69" i="1"/>
  <c r="V68" i="1"/>
  <c r="U68" i="1"/>
  <c r="T68" i="1"/>
  <c r="R68" i="1"/>
  <c r="O68" i="1"/>
  <c r="J68" i="1"/>
  <c r="V67" i="1"/>
  <c r="U67" i="1"/>
  <c r="T67" i="1"/>
  <c r="R67" i="1"/>
  <c r="V66" i="1"/>
  <c r="U66" i="1"/>
  <c r="T66" i="1"/>
  <c r="R66" i="1"/>
  <c r="V65" i="1"/>
  <c r="U65" i="1"/>
  <c r="T65" i="1"/>
  <c r="R65" i="1"/>
  <c r="V64" i="1"/>
  <c r="U64" i="1"/>
  <c r="T64" i="1"/>
  <c r="R64" i="1"/>
  <c r="V63" i="1"/>
  <c r="U63" i="1"/>
  <c r="T63" i="1"/>
  <c r="R63" i="1"/>
  <c r="V62" i="1"/>
  <c r="U62" i="1"/>
  <c r="T62" i="1"/>
  <c r="R62" i="1"/>
  <c r="V61" i="1"/>
  <c r="U61" i="1"/>
  <c r="T61" i="1"/>
  <c r="R61" i="1"/>
  <c r="V60" i="1"/>
  <c r="U60" i="1"/>
  <c r="T60" i="1"/>
  <c r="R60" i="1"/>
  <c r="V59" i="1"/>
  <c r="U59" i="1"/>
  <c r="T59" i="1"/>
  <c r="R59" i="1"/>
  <c r="O59" i="1"/>
  <c r="J59" i="1"/>
  <c r="V58" i="1"/>
  <c r="U58" i="1"/>
  <c r="T58" i="1"/>
  <c r="R58" i="1"/>
  <c r="O58" i="1"/>
  <c r="J58" i="1"/>
  <c r="V57" i="1"/>
  <c r="U57" i="1"/>
  <c r="T57" i="1"/>
  <c r="R57" i="1"/>
  <c r="V56" i="1"/>
  <c r="U56" i="1"/>
  <c r="T56" i="1"/>
  <c r="R56" i="1"/>
  <c r="V55" i="1"/>
  <c r="U55" i="1"/>
  <c r="T55" i="1"/>
  <c r="R55" i="1"/>
  <c r="V54" i="1"/>
  <c r="U54" i="1"/>
  <c r="T54" i="1"/>
  <c r="R54" i="1"/>
  <c r="V53" i="1"/>
  <c r="U53" i="1"/>
  <c r="T53" i="1"/>
  <c r="R53" i="1"/>
  <c r="V52" i="1"/>
  <c r="U52" i="1"/>
  <c r="T52" i="1"/>
  <c r="V51" i="1"/>
  <c r="U51" i="1"/>
  <c r="T51" i="1"/>
  <c r="P51" i="1"/>
  <c r="O51" i="1"/>
  <c r="L51" i="1"/>
  <c r="K51" i="1"/>
  <c r="J51" i="1"/>
  <c r="V50" i="1"/>
  <c r="U50" i="1"/>
  <c r="T50" i="1"/>
  <c r="R50" i="1"/>
  <c r="O50" i="1"/>
  <c r="J50" i="1"/>
  <c r="V49" i="1"/>
  <c r="U49" i="1"/>
  <c r="T49" i="1"/>
  <c r="R49" i="1"/>
  <c r="V48" i="1"/>
  <c r="U48" i="1"/>
  <c r="T48" i="1"/>
  <c r="R48" i="1"/>
  <c r="V47" i="1"/>
  <c r="U47" i="1"/>
  <c r="T47" i="1"/>
  <c r="R47" i="1"/>
  <c r="V46" i="1"/>
  <c r="U46" i="1"/>
  <c r="T46" i="1"/>
  <c r="R46" i="1"/>
  <c r="V45" i="1"/>
  <c r="U45" i="1"/>
  <c r="T45" i="1"/>
  <c r="R45" i="1"/>
  <c r="V44" i="1"/>
  <c r="U44" i="1"/>
  <c r="T44" i="1"/>
  <c r="V43" i="1"/>
  <c r="U43" i="1"/>
  <c r="T43" i="1"/>
  <c r="P43" i="1"/>
  <c r="O43" i="1"/>
  <c r="L43" i="1"/>
  <c r="K43" i="1"/>
  <c r="J43" i="1"/>
  <c r="V42" i="1"/>
  <c r="U42" i="1"/>
  <c r="T42" i="1"/>
  <c r="R42" i="1"/>
  <c r="L42" i="1"/>
  <c r="V41" i="1"/>
  <c r="U41" i="1"/>
  <c r="T41" i="1"/>
  <c r="R41" i="1"/>
  <c r="O41" i="1"/>
  <c r="J41" i="1"/>
  <c r="V40" i="1"/>
  <c r="U40" i="1"/>
  <c r="T40" i="1"/>
  <c r="R40" i="1"/>
  <c r="V39" i="1"/>
  <c r="U39" i="1"/>
  <c r="T39" i="1"/>
  <c r="R39" i="1"/>
  <c r="V38" i="1"/>
  <c r="U38" i="1"/>
  <c r="T38" i="1"/>
  <c r="R38" i="1"/>
  <c r="V37" i="1"/>
  <c r="U37" i="1"/>
  <c r="T37" i="1"/>
  <c r="R37" i="1"/>
  <c r="V36" i="1"/>
  <c r="U36" i="1"/>
  <c r="T36" i="1"/>
  <c r="R36" i="1"/>
  <c r="V35" i="1"/>
  <c r="U35" i="1"/>
  <c r="T35" i="1"/>
  <c r="R35" i="1"/>
  <c r="V34" i="1"/>
  <c r="U34" i="1"/>
  <c r="T34" i="1"/>
  <c r="R34" i="1"/>
  <c r="V33" i="1"/>
  <c r="U33" i="1"/>
  <c r="T33" i="1"/>
  <c r="R33" i="1"/>
  <c r="V32" i="1"/>
  <c r="U32" i="1"/>
  <c r="T32" i="1"/>
  <c r="R32" i="1"/>
  <c r="V31" i="1"/>
  <c r="U31" i="1"/>
  <c r="T31" i="1"/>
  <c r="R31" i="1"/>
  <c r="V30" i="1"/>
  <c r="U30" i="1"/>
  <c r="T30" i="1"/>
  <c r="R30" i="1"/>
  <c r="V29" i="1"/>
  <c r="U29" i="1"/>
  <c r="T29" i="1"/>
  <c r="R29" i="1"/>
  <c r="V28" i="1"/>
  <c r="U28" i="1"/>
  <c r="T28" i="1"/>
  <c r="R28" i="1"/>
  <c r="V27" i="1"/>
  <c r="U27" i="1"/>
  <c r="T27" i="1"/>
  <c r="R27" i="1"/>
  <c r="V26" i="1"/>
  <c r="U26" i="1"/>
  <c r="T26" i="1"/>
  <c r="R26" i="1"/>
  <c r="V25" i="1"/>
  <c r="U25" i="1"/>
  <c r="T25" i="1"/>
  <c r="R25" i="1"/>
  <c r="V24" i="1"/>
  <c r="U24" i="1"/>
  <c r="T24" i="1"/>
  <c r="R24" i="1"/>
  <c r="V23" i="1"/>
  <c r="U23" i="1"/>
  <c r="T23" i="1"/>
  <c r="R23" i="1"/>
  <c r="V22" i="1"/>
  <c r="U22" i="1"/>
  <c r="T22" i="1"/>
  <c r="R22" i="1"/>
  <c r="V21" i="1"/>
  <c r="U21" i="1"/>
  <c r="T21" i="1"/>
  <c r="R21" i="1"/>
  <c r="V20" i="1"/>
  <c r="U20" i="1"/>
  <c r="T20" i="1"/>
  <c r="R20" i="1"/>
  <c r="V19" i="1"/>
  <c r="U19" i="1"/>
  <c r="T19" i="1"/>
  <c r="R19" i="1"/>
  <c r="V18" i="1"/>
  <c r="U18" i="1"/>
  <c r="T18" i="1"/>
  <c r="R18" i="1"/>
  <c r="O18" i="1"/>
  <c r="J18" i="1"/>
  <c r="V17" i="1"/>
  <c r="U17" i="1"/>
  <c r="T17" i="1"/>
  <c r="R17" i="1"/>
  <c r="O17" i="1"/>
  <c r="J17" i="1"/>
  <c r="V16" i="1"/>
  <c r="U16" i="1"/>
  <c r="T16" i="1"/>
  <c r="R16" i="1"/>
  <c r="O16" i="1"/>
  <c r="J16" i="1"/>
  <c r="V15" i="1"/>
  <c r="U15" i="1"/>
  <c r="T15" i="1"/>
  <c r="R15" i="1"/>
  <c r="V14" i="1"/>
  <c r="U14" i="1"/>
  <c r="T14" i="1"/>
  <c r="R14" i="1"/>
  <c r="V13" i="1"/>
  <c r="U13" i="1"/>
  <c r="T13" i="1"/>
  <c r="R13" i="1"/>
  <c r="V12" i="1"/>
  <c r="U12" i="1"/>
  <c r="T12" i="1"/>
  <c r="R12" i="1"/>
  <c r="V11" i="1"/>
  <c r="U11" i="1"/>
  <c r="T11" i="1"/>
  <c r="R11" i="1"/>
  <c r="V10" i="1"/>
  <c r="U10" i="1"/>
  <c r="T10" i="1"/>
  <c r="R10" i="1"/>
  <c r="V9" i="1"/>
  <c r="U9" i="1"/>
  <c r="T9" i="1"/>
  <c r="R9" i="1"/>
  <c r="W71" i="15"/>
  <c r="U71" i="15"/>
  <c r="V71" i="15" s="1"/>
  <c r="S71" i="15"/>
  <c r="W70" i="15"/>
  <c r="U70" i="15"/>
  <c r="V70" i="15" s="1"/>
  <c r="S70" i="15"/>
  <c r="W55" i="15"/>
  <c r="U55" i="15"/>
  <c r="V55" i="15" s="1"/>
  <c r="S55" i="15"/>
  <c r="W54" i="15"/>
  <c r="U54" i="15"/>
  <c r="V54" i="15" s="1"/>
  <c r="S54" i="15"/>
  <c r="W81" i="15"/>
  <c r="U81" i="15"/>
  <c r="V81" i="15" s="1"/>
  <c r="S81" i="15"/>
  <c r="W69" i="15"/>
  <c r="U69" i="15"/>
  <c r="V69" i="15" s="1"/>
  <c r="S69" i="15"/>
  <c r="W68" i="15"/>
  <c r="U68" i="15"/>
  <c r="V68" i="15" s="1"/>
  <c r="S68" i="15"/>
  <c r="W67" i="15"/>
  <c r="U67" i="15"/>
  <c r="V67" i="15" s="1"/>
  <c r="S67" i="15"/>
  <c r="W66" i="15"/>
  <c r="U66" i="15"/>
  <c r="V66" i="15" s="1"/>
  <c r="S66" i="15"/>
  <c r="W76" i="15"/>
  <c r="U76" i="15"/>
  <c r="V76" i="15" s="1"/>
  <c r="S76" i="15"/>
  <c r="W79" i="15"/>
  <c r="U79" i="15"/>
  <c r="V79" i="15" s="1"/>
  <c r="S79" i="15"/>
  <c r="W78" i="15"/>
  <c r="U78" i="15"/>
  <c r="V78" i="15" s="1"/>
  <c r="S78" i="15"/>
  <c r="W77" i="15"/>
  <c r="U77" i="15"/>
  <c r="V77" i="15" s="1"/>
  <c r="S77" i="15"/>
  <c r="W65" i="15"/>
  <c r="U65" i="15"/>
  <c r="V65" i="15" s="1"/>
  <c r="S65" i="15"/>
  <c r="W64" i="15"/>
  <c r="U64" i="15"/>
  <c r="V64" i="15" s="1"/>
  <c r="S64" i="15"/>
  <c r="W63" i="15"/>
  <c r="U63" i="15"/>
  <c r="V63" i="15" s="1"/>
  <c r="S63" i="15"/>
  <c r="W62" i="15"/>
  <c r="U62" i="15"/>
  <c r="V62" i="15" s="1"/>
  <c r="S62" i="15"/>
  <c r="W59" i="15"/>
  <c r="U59" i="15"/>
  <c r="V59" i="15" s="1"/>
  <c r="S59" i="15"/>
  <c r="W58" i="15"/>
  <c r="U58" i="15"/>
  <c r="V58" i="15" s="1"/>
  <c r="S58" i="15"/>
  <c r="W53" i="15"/>
  <c r="U53" i="15"/>
  <c r="V53" i="15" s="1"/>
  <c r="S53" i="15"/>
  <c r="W52" i="15"/>
  <c r="U52" i="15"/>
  <c r="V52" i="15" s="1"/>
  <c r="S52" i="15"/>
  <c r="W48" i="15"/>
  <c r="U48" i="15"/>
  <c r="V48" i="15" s="1"/>
  <c r="S48" i="15"/>
  <c r="W47" i="15"/>
  <c r="U47" i="15"/>
  <c r="V47" i="15" s="1"/>
  <c r="S47" i="15"/>
  <c r="W57" i="15"/>
  <c r="U57" i="15"/>
  <c r="V57" i="15" s="1"/>
  <c r="S57" i="15"/>
  <c r="W51" i="15"/>
  <c r="U51" i="15"/>
  <c r="V51" i="15" s="1"/>
  <c r="S51" i="15"/>
  <c r="W45" i="15"/>
  <c r="U45" i="15"/>
  <c r="V45" i="15" s="1"/>
  <c r="S45" i="15"/>
  <c r="W75" i="15"/>
  <c r="U75" i="15"/>
  <c r="V75" i="15" s="1"/>
  <c r="S75" i="15"/>
  <c r="W74" i="15"/>
  <c r="U74" i="15"/>
  <c r="V74" i="15" s="1"/>
  <c r="S74" i="15"/>
  <c r="W73" i="15"/>
  <c r="U73" i="15"/>
  <c r="V73" i="15" s="1"/>
  <c r="S73" i="15"/>
  <c r="W80" i="15"/>
  <c r="U80" i="15"/>
  <c r="V80" i="15" s="1"/>
  <c r="S80" i="15"/>
  <c r="W56" i="15"/>
  <c r="U56" i="15"/>
  <c r="V56" i="15" s="1"/>
  <c r="S56" i="15"/>
  <c r="W61" i="15"/>
  <c r="U61" i="15"/>
  <c r="V61" i="15" s="1"/>
  <c r="S61" i="15"/>
  <c r="W60" i="15"/>
  <c r="U60" i="15"/>
  <c r="V60" i="15" s="1"/>
  <c r="S60" i="15"/>
  <c r="W72" i="15"/>
  <c r="U72" i="15"/>
  <c r="V72" i="15" s="1"/>
  <c r="S72" i="15"/>
  <c r="W86" i="15"/>
  <c r="U86" i="15"/>
  <c r="V86" i="15" s="1"/>
  <c r="S86" i="15"/>
  <c r="P49" i="15"/>
  <c r="K49" i="15"/>
  <c r="W50" i="15"/>
  <c r="U50" i="15"/>
  <c r="V50" i="15" s="1"/>
  <c r="S50" i="15"/>
  <c r="W46" i="15"/>
  <c r="U46" i="15"/>
  <c r="S46" i="15"/>
  <c r="W31" i="15"/>
  <c r="U31" i="15"/>
  <c r="V31" i="15" s="1"/>
  <c r="S31" i="15"/>
  <c r="W30" i="15"/>
  <c r="U30" i="15"/>
  <c r="V30" i="15" s="1"/>
  <c r="S30" i="15"/>
  <c r="W15" i="15"/>
  <c r="U15" i="15"/>
  <c r="V15" i="15" s="1"/>
  <c r="S15" i="15"/>
  <c r="W14" i="15"/>
  <c r="U14" i="15"/>
  <c r="V14" i="15" s="1"/>
  <c r="S14" i="15"/>
  <c r="W41" i="15"/>
  <c r="U41" i="15"/>
  <c r="V41" i="15" s="1"/>
  <c r="S41" i="15"/>
  <c r="W29" i="15"/>
  <c r="U29" i="15"/>
  <c r="V29" i="15" s="1"/>
  <c r="S29" i="15"/>
  <c r="W28" i="15"/>
  <c r="U28" i="15"/>
  <c r="V28" i="15" s="1"/>
  <c r="S28" i="15"/>
  <c r="W27" i="15"/>
  <c r="U27" i="15"/>
  <c r="V27" i="15" s="1"/>
  <c r="S27" i="15"/>
  <c r="W26" i="15"/>
  <c r="U26" i="15"/>
  <c r="V26" i="15" s="1"/>
  <c r="S26" i="15"/>
  <c r="W36" i="15"/>
  <c r="U36" i="15"/>
  <c r="V36" i="15" s="1"/>
  <c r="S36" i="15"/>
  <c r="W39" i="15"/>
  <c r="U39" i="15"/>
  <c r="V39" i="15" s="1"/>
  <c r="S39" i="15"/>
  <c r="W38" i="15"/>
  <c r="U38" i="15"/>
  <c r="V38" i="15" s="1"/>
  <c r="S38" i="15"/>
  <c r="W37" i="15"/>
  <c r="U37" i="15"/>
  <c r="V37" i="15" s="1"/>
  <c r="S37" i="15"/>
  <c r="W25" i="15"/>
  <c r="U25" i="15"/>
  <c r="V25" i="15" s="1"/>
  <c r="S25" i="15"/>
  <c r="W24" i="15"/>
  <c r="U24" i="15"/>
  <c r="V24" i="15" s="1"/>
  <c r="S24" i="15"/>
  <c r="W23" i="15"/>
  <c r="U23" i="15"/>
  <c r="V23" i="15" s="1"/>
  <c r="S23" i="15"/>
  <c r="W22" i="15"/>
  <c r="U22" i="15"/>
  <c r="V22" i="15" s="1"/>
  <c r="S22" i="15"/>
  <c r="W19" i="15"/>
  <c r="U19" i="15"/>
  <c r="V19" i="15" s="1"/>
  <c r="S19" i="15"/>
  <c r="W18" i="15"/>
  <c r="U18" i="15"/>
  <c r="V18" i="15" s="1"/>
  <c r="S18" i="15"/>
  <c r="W13" i="15"/>
  <c r="U13" i="15"/>
  <c r="V13" i="15" s="1"/>
  <c r="S13" i="15"/>
  <c r="W12" i="15"/>
  <c r="U12" i="15"/>
  <c r="V12" i="15" s="1"/>
  <c r="S12" i="15"/>
  <c r="W8" i="15"/>
  <c r="U8" i="15"/>
  <c r="V8" i="15" s="1"/>
  <c r="S8" i="15"/>
  <c r="W7" i="15"/>
  <c r="U7" i="15"/>
  <c r="V7" i="15" s="1"/>
  <c r="S7" i="15"/>
  <c r="W17" i="15"/>
  <c r="U17" i="15"/>
  <c r="V17" i="15" s="1"/>
  <c r="S17" i="15"/>
  <c r="W11" i="15"/>
  <c r="U11" i="15"/>
  <c r="V11" i="15" s="1"/>
  <c r="S11" i="15"/>
  <c r="W5" i="15"/>
  <c r="U5" i="15"/>
  <c r="V5" i="15" s="1"/>
  <c r="S5" i="15"/>
  <c r="W35" i="15"/>
  <c r="U35" i="15"/>
  <c r="V35" i="15" s="1"/>
  <c r="S35" i="15"/>
  <c r="W34" i="15"/>
  <c r="U34" i="15"/>
  <c r="V34" i="15" s="1"/>
  <c r="S34" i="15"/>
  <c r="W33" i="15"/>
  <c r="U33" i="15"/>
  <c r="V33" i="15" s="1"/>
  <c r="S33" i="15"/>
  <c r="W40" i="15"/>
  <c r="U40" i="15"/>
  <c r="V40" i="15" s="1"/>
  <c r="S40" i="15"/>
  <c r="W16" i="15"/>
  <c r="U16" i="15"/>
  <c r="V16" i="15" s="1"/>
  <c r="S16" i="15"/>
  <c r="W21" i="15"/>
  <c r="U21" i="15"/>
  <c r="V21" i="15" s="1"/>
  <c r="S21" i="15"/>
  <c r="W20" i="15"/>
  <c r="U20" i="15"/>
  <c r="V20" i="15" s="1"/>
  <c r="S20" i="15"/>
  <c r="W32" i="15"/>
  <c r="U32" i="15"/>
  <c r="V32" i="15" s="1"/>
  <c r="S32" i="15"/>
  <c r="W85" i="15"/>
  <c r="U85" i="15"/>
  <c r="V85" i="15" s="1"/>
  <c r="S85" i="15"/>
  <c r="P9" i="15"/>
  <c r="W9" i="15" s="1"/>
  <c r="K9" i="15"/>
  <c r="W10" i="15"/>
  <c r="U10" i="15"/>
  <c r="V10" i="15" s="1"/>
  <c r="S10" i="15"/>
  <c r="W6" i="15"/>
  <c r="U6" i="15"/>
  <c r="V6" i="15" s="1"/>
  <c r="S6" i="15"/>
  <c r="V83" i="18"/>
  <c r="T83" i="18"/>
  <c r="U83" i="18" s="1"/>
  <c r="R83" i="18"/>
  <c r="V82" i="18"/>
  <c r="T82" i="18"/>
  <c r="U82" i="18" s="1"/>
  <c r="R82" i="18"/>
  <c r="V81" i="18"/>
  <c r="T81" i="18"/>
  <c r="U81" i="18" s="1"/>
  <c r="R81" i="18"/>
  <c r="V80" i="18"/>
  <c r="T80" i="18"/>
  <c r="U80" i="18" s="1"/>
  <c r="R80" i="18"/>
  <c r="V79" i="18"/>
  <c r="T79" i="18"/>
  <c r="U79" i="18" s="1"/>
  <c r="R79" i="18"/>
  <c r="V78" i="18"/>
  <c r="T78" i="18"/>
  <c r="U78" i="18" s="1"/>
  <c r="R78" i="18"/>
  <c r="V77" i="18"/>
  <c r="T77" i="18"/>
  <c r="U77" i="18" s="1"/>
  <c r="R77" i="18"/>
  <c r="V76" i="18"/>
  <c r="T76" i="18"/>
  <c r="U76" i="18" s="1"/>
  <c r="R76" i="18"/>
  <c r="V75" i="18"/>
  <c r="T75" i="18"/>
  <c r="U75" i="18" s="1"/>
  <c r="R75" i="18"/>
  <c r="V74" i="18"/>
  <c r="T74" i="18"/>
  <c r="U74" i="18" s="1"/>
  <c r="R74" i="18"/>
  <c r="V73" i="18"/>
  <c r="T73" i="18"/>
  <c r="U73" i="18" s="1"/>
  <c r="R73" i="18"/>
  <c r="V71" i="18"/>
  <c r="T71" i="18"/>
  <c r="U71" i="18" s="1"/>
  <c r="R71" i="18"/>
  <c r="V70" i="18"/>
  <c r="T70" i="18"/>
  <c r="U70" i="18" s="1"/>
  <c r="R70" i="18"/>
  <c r="O67" i="18"/>
  <c r="V67" i="18" s="1"/>
  <c r="J67" i="18"/>
  <c r="J66" i="18"/>
  <c r="R66" i="18" s="1"/>
  <c r="U65" i="18"/>
  <c r="V64" i="18"/>
  <c r="T64" i="18"/>
  <c r="U64" i="18" s="1"/>
  <c r="R64" i="18"/>
  <c r="V63" i="18"/>
  <c r="T63" i="18"/>
  <c r="U63" i="18" s="1"/>
  <c r="R63" i="18"/>
  <c r="V62" i="18"/>
  <c r="T62" i="18"/>
  <c r="U62" i="18" s="1"/>
  <c r="R62" i="18"/>
  <c r="V61" i="18"/>
  <c r="T61" i="18"/>
  <c r="U61" i="18" s="1"/>
  <c r="R61" i="18"/>
  <c r="V60" i="18"/>
  <c r="T60" i="18"/>
  <c r="U60" i="18" s="1"/>
  <c r="R60" i="18"/>
  <c r="V59" i="18"/>
  <c r="T59" i="18"/>
  <c r="U59" i="18" s="1"/>
  <c r="R59" i="18"/>
  <c r="V57" i="18"/>
  <c r="T57" i="18"/>
  <c r="U57" i="18" s="1"/>
  <c r="R57" i="18"/>
  <c r="V56" i="18"/>
  <c r="T56" i="18"/>
  <c r="U56" i="18" s="1"/>
  <c r="R56" i="18"/>
  <c r="V55" i="18"/>
  <c r="T55" i="18"/>
  <c r="U55" i="18" s="1"/>
  <c r="R55" i="18"/>
  <c r="V54" i="18"/>
  <c r="T54" i="18"/>
  <c r="U54" i="18" s="1"/>
  <c r="R54" i="18"/>
  <c r="O53" i="18"/>
  <c r="J53" i="18"/>
  <c r="V52" i="18"/>
  <c r="T52" i="18"/>
  <c r="U52" i="18" s="1"/>
  <c r="R52" i="18"/>
  <c r="T51" i="18"/>
  <c r="U51" i="18" s="1"/>
  <c r="R51" i="18"/>
  <c r="O50" i="18"/>
  <c r="V50" i="18" s="1"/>
  <c r="J50" i="18"/>
  <c r="V49" i="18"/>
  <c r="T49" i="18"/>
  <c r="U49" i="18" s="1"/>
  <c r="R49" i="18"/>
  <c r="V47" i="18"/>
  <c r="T47" i="18"/>
  <c r="U47" i="18" s="1"/>
  <c r="R47" i="18"/>
  <c r="V46" i="18"/>
  <c r="T46" i="18"/>
  <c r="U46" i="18" s="1"/>
  <c r="R46" i="18"/>
  <c r="V45" i="18"/>
  <c r="T45" i="18"/>
  <c r="U45" i="18" s="1"/>
  <c r="R45" i="18"/>
  <c r="V44" i="18"/>
  <c r="T44" i="18"/>
  <c r="U44" i="18" s="1"/>
  <c r="R44" i="18"/>
  <c r="V43" i="18"/>
  <c r="T43" i="18"/>
  <c r="U43" i="18" s="1"/>
  <c r="R43" i="18"/>
  <c r="V42" i="18"/>
  <c r="T42" i="18"/>
  <c r="U42" i="18" s="1"/>
  <c r="R42" i="18"/>
  <c r="V41" i="18"/>
  <c r="T41" i="18"/>
  <c r="U41" i="18" s="1"/>
  <c r="R41" i="18"/>
  <c r="V40" i="18"/>
  <c r="T40" i="18"/>
  <c r="U40" i="18" s="1"/>
  <c r="R40" i="18"/>
  <c r="V39" i="18"/>
  <c r="T39" i="18"/>
  <c r="U39" i="18" s="1"/>
  <c r="R39" i="18"/>
  <c r="V38" i="18"/>
  <c r="T38" i="18"/>
  <c r="U38" i="18" s="1"/>
  <c r="R38" i="18"/>
  <c r="O37" i="18"/>
  <c r="J37" i="18"/>
  <c r="O36" i="18"/>
  <c r="J36" i="18"/>
  <c r="V35" i="18"/>
  <c r="T35" i="18"/>
  <c r="U35" i="18" s="1"/>
  <c r="R35" i="18"/>
  <c r="V34" i="18"/>
  <c r="T34" i="18"/>
  <c r="U34" i="18" s="1"/>
  <c r="R34" i="18"/>
  <c r="V33" i="18"/>
  <c r="T33" i="18"/>
  <c r="U33" i="18" s="1"/>
  <c r="R33" i="18"/>
  <c r="V32" i="18"/>
  <c r="T32" i="18"/>
  <c r="U32" i="18" s="1"/>
  <c r="R32" i="18"/>
  <c r="V31" i="18"/>
  <c r="T31" i="18"/>
  <c r="U31" i="18" s="1"/>
  <c r="R31" i="18"/>
  <c r="V30" i="18"/>
  <c r="T30" i="18"/>
  <c r="U30" i="18" s="1"/>
  <c r="R30" i="18"/>
  <c r="V29" i="18"/>
  <c r="T29" i="18"/>
  <c r="U29" i="18" s="1"/>
  <c r="R29" i="18"/>
  <c r="V28" i="18"/>
  <c r="T28" i="18"/>
  <c r="U28" i="18" s="1"/>
  <c r="R28" i="18"/>
  <c r="V27" i="18"/>
  <c r="T27" i="18"/>
  <c r="U27" i="18" s="1"/>
  <c r="R27" i="18"/>
  <c r="V26" i="18"/>
  <c r="T26" i="18"/>
  <c r="U26" i="18" s="1"/>
  <c r="R26" i="18"/>
  <c r="V25" i="18"/>
  <c r="T25" i="18"/>
  <c r="U25" i="18" s="1"/>
  <c r="R25" i="18"/>
  <c r="V24" i="18"/>
  <c r="T24" i="18"/>
  <c r="U24" i="18" s="1"/>
  <c r="R24" i="18"/>
  <c r="O18" i="18"/>
  <c r="V18" i="18" s="1"/>
  <c r="J18" i="18"/>
  <c r="V17" i="18"/>
  <c r="T17" i="18"/>
  <c r="U17" i="18" s="1"/>
  <c r="R17" i="18"/>
  <c r="V16" i="18"/>
  <c r="T16" i="18"/>
  <c r="U16" i="18" s="1"/>
  <c r="R16" i="18"/>
  <c r="V15" i="18"/>
  <c r="T15" i="18"/>
  <c r="U15" i="18" s="1"/>
  <c r="R15" i="18"/>
  <c r="V14" i="18"/>
  <c r="T14" i="18"/>
  <c r="U14" i="18" s="1"/>
  <c r="R14" i="18"/>
  <c r="V13" i="18"/>
  <c r="T13" i="18"/>
  <c r="U13" i="18" s="1"/>
  <c r="R13" i="18"/>
  <c r="V11" i="18"/>
  <c r="T11" i="18"/>
  <c r="U11" i="18" s="1"/>
  <c r="R11" i="18"/>
  <c r="L11" i="18"/>
  <c r="V10" i="18"/>
  <c r="T10" i="18"/>
  <c r="U10" i="18" s="1"/>
  <c r="R10" i="18"/>
  <c r="V9" i="18"/>
  <c r="T9" i="18"/>
  <c r="U9" i="18" s="1"/>
  <c r="R9" i="18"/>
  <c r="O8" i="18"/>
  <c r="J8" i="18"/>
  <c r="V7" i="18"/>
  <c r="T7" i="18"/>
  <c r="U7" i="18" s="1"/>
  <c r="R7" i="18"/>
  <c r="V6" i="18"/>
  <c r="T6" i="18"/>
  <c r="U6" i="18" s="1"/>
  <c r="R6" i="18"/>
  <c r="V5" i="18"/>
  <c r="T5" i="18"/>
  <c r="U5" i="18" s="1"/>
  <c r="R5" i="18"/>
  <c r="V147" i="19" l="1"/>
  <c r="V240" i="19"/>
  <c r="V116" i="19"/>
  <c r="V117" i="19" s="1"/>
  <c r="W104" i="19" s="1"/>
  <c r="V201" i="19"/>
  <c r="V178" i="19"/>
  <c r="V146" i="19"/>
  <c r="V239" i="19"/>
  <c r="W230" i="19" s="1"/>
  <c r="V202" i="19"/>
  <c r="V50" i="19"/>
  <c r="V216" i="19"/>
  <c r="V220" i="19" s="1"/>
  <c r="V244" i="19"/>
  <c r="V248" i="19"/>
  <c r="T60" i="19"/>
  <c r="U60" i="19" s="1"/>
  <c r="R66" i="19"/>
  <c r="T29" i="19"/>
  <c r="U29" i="19" s="1"/>
  <c r="R238" i="19"/>
  <c r="J239" i="19"/>
  <c r="V139" i="19"/>
  <c r="T191" i="19"/>
  <c r="U38" i="20"/>
  <c r="V38" i="20" s="1"/>
  <c r="U21" i="20"/>
  <c r="V21" i="20" s="1"/>
  <c r="W38" i="20"/>
  <c r="W77" i="20"/>
  <c r="S77" i="20"/>
  <c r="S38" i="20"/>
  <c r="S21" i="20"/>
  <c r="U77" i="20"/>
  <c r="V77" i="20" s="1"/>
  <c r="T49" i="22"/>
  <c r="V49" i="22"/>
  <c r="W49" i="22" s="1"/>
  <c r="T27" i="22"/>
  <c r="U202" i="19"/>
  <c r="R154" i="19"/>
  <c r="R237" i="19"/>
  <c r="T129" i="19"/>
  <c r="V265" i="19"/>
  <c r="W249" i="19" s="1"/>
  <c r="R53" i="19"/>
  <c r="R114" i="19"/>
  <c r="V179" i="19"/>
  <c r="O170" i="19"/>
  <c r="U201" i="19"/>
  <c r="V247" i="19"/>
  <c r="T266" i="19"/>
  <c r="V284" i="19"/>
  <c r="V288" i="19" s="1"/>
  <c r="W268" i="19" s="1"/>
  <c r="R60" i="19"/>
  <c r="V29" i="19"/>
  <c r="O71" i="19"/>
  <c r="T190" i="19"/>
  <c r="R27" i="19"/>
  <c r="T41" i="19"/>
  <c r="U41" i="19" s="1"/>
  <c r="O50" i="19"/>
  <c r="V53" i="19"/>
  <c r="V71" i="19" s="1"/>
  <c r="V60" i="19"/>
  <c r="T66" i="19"/>
  <c r="U66" i="19" s="1"/>
  <c r="R79" i="19"/>
  <c r="T114" i="19"/>
  <c r="U114" i="19" s="1"/>
  <c r="U119" i="19"/>
  <c r="U129" i="19" s="1"/>
  <c r="T139" i="19"/>
  <c r="U139" i="19" s="1"/>
  <c r="V170" i="19"/>
  <c r="U180" i="19"/>
  <c r="U181" i="19"/>
  <c r="V191" i="19"/>
  <c r="V219" i="19"/>
  <c r="T228" i="19"/>
  <c r="T237" i="19"/>
  <c r="U237" i="19" s="1"/>
  <c r="V238" i="19"/>
  <c r="V243" i="19"/>
  <c r="J287" i="19"/>
  <c r="T284" i="19"/>
  <c r="U284" i="19" s="1"/>
  <c r="V103" i="19"/>
  <c r="R29" i="19"/>
  <c r="T61" i="19"/>
  <c r="U61" i="19" s="1"/>
  <c r="V86" i="19"/>
  <c r="T79" i="19"/>
  <c r="U79" i="19" s="1"/>
  <c r="U86" i="19" s="1"/>
  <c r="V129" i="19"/>
  <c r="T178" i="19"/>
  <c r="T202" i="19"/>
  <c r="V229" i="19"/>
  <c r="I155" i="18"/>
  <c r="I153" i="18"/>
  <c r="U49" i="15"/>
  <c r="V49" i="15" s="1"/>
  <c r="W49" i="15"/>
  <c r="W83" i="15" s="1"/>
  <c r="W43" i="15"/>
  <c r="S9" i="15"/>
  <c r="V46" i="15"/>
  <c r="U9" i="15"/>
  <c r="V9" i="15" s="1"/>
  <c r="V43" i="15" s="1"/>
  <c r="S49" i="15"/>
  <c r="I157" i="18"/>
  <c r="T58" i="22"/>
  <c r="V58" i="22"/>
  <c r="W58" i="22" s="1"/>
  <c r="T47" i="22"/>
  <c r="V47" i="22"/>
  <c r="V27" i="22"/>
  <c r="W27" i="22" s="1"/>
  <c r="V27" i="20"/>
  <c r="V12" i="20"/>
  <c r="V60" i="20"/>
  <c r="S36" i="20"/>
  <c r="U36" i="20"/>
  <c r="V36" i="20" s="1"/>
  <c r="S39" i="20"/>
  <c r="V56" i="20"/>
  <c r="S76" i="20"/>
  <c r="S37" i="20"/>
  <c r="U39" i="20"/>
  <c r="V39" i="20" s="1"/>
  <c r="S14" i="20"/>
  <c r="U37" i="20"/>
  <c r="V37" i="20" s="1"/>
  <c r="U14" i="20"/>
  <c r="V14" i="20" s="1"/>
  <c r="V58" i="20"/>
  <c r="V51" i="19"/>
  <c r="U248" i="19"/>
  <c r="U247" i="19"/>
  <c r="U244" i="19"/>
  <c r="U243" i="19"/>
  <c r="U103" i="19"/>
  <c r="U102" i="19"/>
  <c r="V171" i="19"/>
  <c r="T27" i="19"/>
  <c r="U27" i="19" s="1"/>
  <c r="T53" i="19"/>
  <c r="U53" i="19" s="1"/>
  <c r="O85" i="19"/>
  <c r="T102" i="19"/>
  <c r="J116" i="19"/>
  <c r="U173" i="19"/>
  <c r="V228" i="19"/>
  <c r="W221" i="19" s="1"/>
  <c r="T238" i="19"/>
  <c r="T243" i="19"/>
  <c r="U249" i="19"/>
  <c r="V266" i="19"/>
  <c r="O287" i="19"/>
  <c r="R41" i="19"/>
  <c r="R61" i="19"/>
  <c r="J146" i="19"/>
  <c r="T201" i="19"/>
  <c r="R216" i="19"/>
  <c r="T229" i="19"/>
  <c r="R49" i="19"/>
  <c r="V102" i="19"/>
  <c r="W87" i="19" s="1"/>
  <c r="T179" i="19"/>
  <c r="T216" i="19"/>
  <c r="U216" i="19" s="1"/>
  <c r="T49" i="19"/>
  <c r="U49" i="19" s="1"/>
  <c r="T103" i="19"/>
  <c r="O116" i="19"/>
  <c r="T154" i="19"/>
  <c r="T157" i="19" s="1"/>
  <c r="U221" i="19"/>
  <c r="T244" i="19"/>
  <c r="U268" i="19"/>
  <c r="R283" i="19"/>
  <c r="V85" i="19"/>
  <c r="V190" i="19"/>
  <c r="W180" i="19" s="1"/>
  <c r="T247" i="19"/>
  <c r="T283" i="19"/>
  <c r="U283" i="19" s="1"/>
  <c r="U287" i="19" s="1"/>
  <c r="R28" i="19"/>
  <c r="R54" i="19"/>
  <c r="T128" i="19"/>
  <c r="U132" i="19"/>
  <c r="V154" i="19"/>
  <c r="V158" i="19" s="1"/>
  <c r="U205" i="19"/>
  <c r="T28" i="19"/>
  <c r="U28" i="19" s="1"/>
  <c r="T54" i="19"/>
  <c r="U54" i="19" s="1"/>
  <c r="J71" i="19"/>
  <c r="V128" i="19"/>
  <c r="W119" i="19" s="1"/>
  <c r="T248" i="19"/>
  <c r="T265" i="19"/>
  <c r="U104" i="19"/>
  <c r="T169" i="19"/>
  <c r="U169" i="19" s="1"/>
  <c r="U171" i="19" s="1"/>
  <c r="R139" i="19"/>
  <c r="U45" i="19"/>
  <c r="T127" i="18"/>
  <c r="R111" i="18"/>
  <c r="T111" i="18"/>
  <c r="U111" i="18" s="1"/>
  <c r="R127" i="18"/>
  <c r="T98" i="18"/>
  <c r="U98" i="18" s="1"/>
  <c r="T113" i="18"/>
  <c r="U113" i="18" s="1"/>
  <c r="U129" i="18"/>
  <c r="U130" i="18"/>
  <c r="U133" i="18"/>
  <c r="U134" i="18"/>
  <c r="U137" i="18"/>
  <c r="U138" i="18"/>
  <c r="U141" i="18"/>
  <c r="U142" i="18"/>
  <c r="U145" i="18"/>
  <c r="U146" i="18"/>
  <c r="U127" i="18"/>
  <c r="V98" i="18"/>
  <c r="V113" i="18"/>
  <c r="U93" i="18"/>
  <c r="U94" i="18"/>
  <c r="U97" i="18"/>
  <c r="R98" i="18"/>
  <c r="R113" i="18"/>
  <c r="V111" i="18"/>
  <c r="T53" i="18"/>
  <c r="U53" i="18" s="1"/>
  <c r="T66" i="18"/>
  <c r="U66" i="18" s="1"/>
  <c r="T67" i="18"/>
  <c r="U67" i="18" s="1"/>
  <c r="T37" i="18"/>
  <c r="U37" i="18" s="1"/>
  <c r="R53" i="18"/>
  <c r="R36" i="18"/>
  <c r="T8" i="18"/>
  <c r="U8" i="18" s="1"/>
  <c r="R18" i="18"/>
  <c r="T18" i="18"/>
  <c r="U18" i="18" s="1"/>
  <c r="T36" i="18"/>
  <c r="U36" i="18" s="1"/>
  <c r="R37" i="18"/>
  <c r="R50" i="18"/>
  <c r="R67" i="18"/>
  <c r="V37" i="18"/>
  <c r="T50" i="18"/>
  <c r="U50" i="18" s="1"/>
  <c r="V53" i="18"/>
  <c r="V36" i="18"/>
  <c r="V8" i="18"/>
  <c r="R8" i="18"/>
  <c r="W130" i="19" l="1"/>
  <c r="W73" i="19"/>
  <c r="W52" i="19"/>
  <c r="V72" i="19"/>
  <c r="W44" i="19"/>
  <c r="W203" i="19"/>
  <c r="W159" i="19"/>
  <c r="W173" i="19"/>
  <c r="W47" i="22"/>
  <c r="Y34" i="22"/>
  <c r="V42" i="19"/>
  <c r="V43" i="19"/>
  <c r="T85" i="19"/>
  <c r="U147" i="19"/>
  <c r="U220" i="19"/>
  <c r="T147" i="19"/>
  <c r="T117" i="19"/>
  <c r="T116" i="19"/>
  <c r="T287" i="19"/>
  <c r="V83" i="15"/>
  <c r="U83" i="15"/>
  <c r="U43" i="15"/>
  <c r="T170" i="19"/>
  <c r="U72" i="19"/>
  <c r="U191" i="19"/>
  <c r="T239" i="19"/>
  <c r="U170" i="19"/>
  <c r="T219" i="19"/>
  <c r="T86" i="19"/>
  <c r="T288" i="19"/>
  <c r="U128" i="19"/>
  <c r="U71" i="19"/>
  <c r="V287" i="19"/>
  <c r="U85" i="19"/>
  <c r="U288" i="19"/>
  <c r="U190" i="19"/>
  <c r="U51" i="19"/>
  <c r="T72" i="19"/>
  <c r="T146" i="19"/>
  <c r="U219" i="19"/>
  <c r="U179" i="19"/>
  <c r="U178" i="19"/>
  <c r="T50" i="19"/>
  <c r="T171" i="19"/>
  <c r="U117" i="19"/>
  <c r="U116" i="19"/>
  <c r="T220" i="19"/>
  <c r="T158" i="19"/>
  <c r="U154" i="19"/>
  <c r="T71" i="19"/>
  <c r="V157" i="19"/>
  <c r="W148" i="19" s="1"/>
  <c r="U146" i="19"/>
  <c r="U228" i="19"/>
  <c r="U229" i="19"/>
  <c r="T51" i="19"/>
  <c r="U266" i="19"/>
  <c r="U265" i="19"/>
  <c r="T240" i="19"/>
  <c r="U238" i="19"/>
  <c r="U50" i="19"/>
  <c r="W7" i="19" l="1"/>
  <c r="U158" i="19"/>
  <c r="U157" i="19"/>
  <c r="U239" i="19"/>
  <c r="U240" i="19"/>
  <c r="J42" i="19"/>
  <c r="O42" i="19"/>
  <c r="T43" i="19"/>
  <c r="T42" i="19"/>
  <c r="U43" i="19"/>
  <c r="U42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tc={223B5297-3B87-674D-A360-8520C4D3521C}</author>
  </authors>
  <commentList>
    <comment ref="L169" authorId="0" shapeId="0" xr:uid="{223B5297-3B87-674D-A360-8520C4D3521C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Cristina Romani</author>
    <author>tc={38FE3201-57B9-4A39-98E5-8CE6A5CA37DD}</author>
  </authors>
  <commentList>
    <comment ref="P86" authorId="0" shapeId="0" xr:uid="{1BD26594-38F0-4EC3-BE30-E45A1DEA992E}">
      <text>
        <r>
          <rPr>
            <sz val="9"/>
            <color indexed="81"/>
            <rFont val="Tahoma"/>
            <family val="2"/>
          </rPr>
          <t>standardized score</t>
        </r>
      </text>
    </comment>
    <comment ref="P132" authorId="0" shapeId="0" xr:uid="{5AD2005C-BB48-403D-B216-8D89DD5F7A1C}">
      <text>
        <r>
          <rPr>
            <sz val="9"/>
            <color indexed="81"/>
            <rFont val="Tahoma"/>
            <family val="2"/>
          </rPr>
          <t>standardized score</t>
        </r>
      </text>
    </comment>
    <comment ref="P162" authorId="0" shapeId="0" xr:uid="{A89DB100-9C74-428E-B497-998A220F0FF7}">
      <text>
        <r>
          <rPr>
            <sz val="9"/>
            <color indexed="81"/>
            <rFont val="Tahoma"/>
            <family val="2"/>
          </rPr>
          <t>standardized score</t>
        </r>
      </text>
    </comment>
    <comment ref="L176" authorId="1" shapeId="0" xr:uid="{38FE3201-57B9-4A39-98E5-8CE6A5CA37DD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</t>
      </text>
    </comment>
  </commentList>
</comments>
</file>

<file path=xl/sharedStrings.xml><?xml version="1.0" encoding="utf-8"?>
<sst xmlns="http://schemas.openxmlformats.org/spreadsheetml/2006/main" count="6674" uniqueCount="687">
  <si>
    <t>PKU GROUP</t>
  </si>
  <si>
    <t>CONTROL GROUP</t>
  </si>
  <si>
    <t>EFFECT SIZES</t>
  </si>
  <si>
    <t>Function</t>
  </si>
  <si>
    <t>Study Information</t>
  </si>
  <si>
    <t>Year of study</t>
  </si>
  <si>
    <t>Short title</t>
  </si>
  <si>
    <t>Task</t>
  </si>
  <si>
    <t>Study Num</t>
  </si>
  <si>
    <t>Measure Num</t>
  </si>
  <si>
    <t>Mean</t>
  </si>
  <si>
    <t>SD</t>
  </si>
  <si>
    <t>N_pps</t>
  </si>
  <si>
    <t>Current Phe Mean</t>
  </si>
  <si>
    <t>Cohen' s D - not revr</t>
  </si>
  <si>
    <t>Cohen' s D</t>
  </si>
  <si>
    <t>Hedge' s G</t>
  </si>
  <si>
    <t>Effect size Glass delta</t>
  </si>
  <si>
    <t>Age diet starts</t>
  </si>
  <si>
    <t>Diet termination</t>
  </si>
  <si>
    <t>N pps</t>
  </si>
  <si>
    <t>%</t>
  </si>
  <si>
    <t>Raw</t>
  </si>
  <si>
    <t>Weighted</t>
  </si>
  <si>
    <t>worse</t>
  </si>
  <si>
    <t>better</t>
  </si>
  <si>
    <t>FLEXIBILITY &amp; PLANNING</t>
  </si>
  <si>
    <t>Flexibility</t>
  </si>
  <si>
    <t>Channon et al 2004</t>
  </si>
  <si>
    <t>Letter fluency</t>
  </si>
  <si>
    <t>Letter fluency - N correct</t>
  </si>
  <si>
    <t>Within 1 month</t>
  </si>
  <si>
    <t>cont treat</t>
  </si>
  <si>
    <t>Channon et al 2005</t>
  </si>
  <si>
    <t>Object Alternation-% correct</t>
  </si>
  <si>
    <t>Object alternation learning  -  %  correct</t>
  </si>
  <si>
    <t>Object Alternation-Speed</t>
  </si>
  <si>
    <t>Object alternation learning - Speed per item (sec.)</t>
  </si>
  <si>
    <t>Channon et al 2007</t>
  </si>
  <si>
    <t>Object alternation learning  % correct off diet vs controls</t>
  </si>
  <si>
    <t xml:space="preserve">Object alternation learning; off diet vs controls - Speed per item </t>
  </si>
  <si>
    <t>Moyle et al 2007</t>
  </si>
  <si>
    <t>Letter  fluency</t>
  </si>
  <si>
    <t>Phonemic fluency - N correct</t>
  </si>
  <si>
    <t>-</t>
  </si>
  <si>
    <t>1</t>
  </si>
  <si>
    <t>From birth</t>
  </si>
  <si>
    <t>cont treat, but off diet</t>
  </si>
  <si>
    <t>Soon after birth</t>
  </si>
  <si>
    <t>Semantic fluency</t>
  </si>
  <si>
    <t>Semantic fluency - N correct</t>
  </si>
  <si>
    <t>TMT; B-A - Time</t>
  </si>
  <si>
    <t>Trail making B-A - Time (sec.)</t>
  </si>
  <si>
    <t>Nardecchia et al 2015</t>
  </si>
  <si>
    <t>WCST- N perseverations</t>
  </si>
  <si>
    <t>WCST - N perseverative responses</t>
  </si>
  <si>
    <t>3</t>
  </si>
  <si>
    <t>Witihn 2 months</t>
  </si>
  <si>
    <t>WCST-N cat</t>
  </si>
  <si>
    <t>WCST- N of completed categories</t>
  </si>
  <si>
    <t>Palermo et al 2017</t>
  </si>
  <si>
    <t>Digit/symbol - % err</t>
  </si>
  <si>
    <t>Digit symbol coding - % error</t>
  </si>
  <si>
    <t>Since birth</t>
  </si>
  <si>
    <t xml:space="preserve">Letter fluency </t>
  </si>
  <si>
    <t>Palermo et al. 2017</t>
  </si>
  <si>
    <t xml:space="preserve">Semantic fluency </t>
  </si>
  <si>
    <t>TMT B-A - Time</t>
  </si>
  <si>
    <t>Trail making - Difference B-A time (sec.)</t>
  </si>
  <si>
    <t>WCST- N categories - correct</t>
  </si>
  <si>
    <t>WCST - N of completed categories</t>
  </si>
  <si>
    <t>WCST -  N perseverative responses</t>
  </si>
  <si>
    <t>Ris et al 1994</t>
  </si>
  <si>
    <t>Smith et al 1996 - Low Phe</t>
  </si>
  <si>
    <t>WCST- N categories-cor</t>
  </si>
  <si>
    <t>--</t>
  </si>
  <si>
    <t>Smith et al 1996 - High Phe</t>
  </si>
  <si>
    <t>Romani et al 2020</t>
  </si>
  <si>
    <t>Sundermann et al 2020</t>
  </si>
  <si>
    <t>TMT - Time</t>
  </si>
  <si>
    <t>within 3 months</t>
  </si>
  <si>
    <t>Within 3 months</t>
  </si>
  <si>
    <t>Weglage et al 2013</t>
  </si>
  <si>
    <t>TMT - Time at baseline</t>
  </si>
  <si>
    <t>TMT (ZVT); only  T1</t>
  </si>
  <si>
    <t xml:space="preserve">Within 10 weeks </t>
  </si>
  <si>
    <t xml:space="preserve">Reasoning </t>
  </si>
  <si>
    <t>Tower of London - Score</t>
  </si>
  <si>
    <t>Tower of London - Performance score</t>
  </si>
  <si>
    <t>REASONING AND PLANNING</t>
  </si>
  <si>
    <t>Elithorns - N solved trials</t>
  </si>
  <si>
    <t>Elithorns Maze Test  - N of solved puzzles</t>
  </si>
  <si>
    <t>average</t>
  </si>
  <si>
    <t>Brixton scaled - Score</t>
  </si>
  <si>
    <t>Brixton text scaled score (rule finding) higher scores indiciate fewer errors</t>
  </si>
  <si>
    <t>p value</t>
  </si>
  <si>
    <t>Note scale from -3 to +2</t>
  </si>
  <si>
    <t>Six elements - Rules per minute</t>
  </si>
  <si>
    <t>Six elements rules per minute</t>
  </si>
  <si>
    <t xml:space="preserve">Tower of Hanoi - % of unsolved trials </t>
  </si>
  <si>
    <t xml:space="preserve">Tower of Hanoi - % of solved trials </t>
  </si>
  <si>
    <t>Inhibition</t>
  </si>
  <si>
    <t>Stroop, Incongruous-congruous - % err</t>
  </si>
  <si>
    <t>Stroop Task; Differene incongruous-congruous - % errors</t>
  </si>
  <si>
    <t>Stroop, Incongruous-congruous- RT</t>
  </si>
  <si>
    <t>Stroop Task; Difference incongruous-congruous- RT</t>
  </si>
  <si>
    <t>Sundermann et al 2011 - Gr1</t>
  </si>
  <si>
    <t>Stroop, Incongruous-neutral - RT</t>
  </si>
  <si>
    <t>Stroop; Difference incongruous-neutral - RT - Placebo second session</t>
  </si>
  <si>
    <t>till  adolescence</t>
  </si>
  <si>
    <t>Sundermann et al 2011 - Gr2</t>
  </si>
  <si>
    <t>Stroop; Difference incongruous-neutral - RT - Placebo first session</t>
  </si>
  <si>
    <t>Ulrich et al. 1996</t>
  </si>
  <si>
    <t>Colour Word Interference Task</t>
  </si>
  <si>
    <t>CWIT - Time?</t>
  </si>
  <si>
    <t>Channon et al 2005 on diet</t>
  </si>
  <si>
    <t>Flanker Task, on diet, Comp-inc-N correct</t>
  </si>
  <si>
    <t xml:space="preserve"> Flanker Task; on diet - Difference compatible-incompatible - Number correct</t>
  </si>
  <si>
    <t xml:space="preserve">Flanker Task, Inc-comp-Speed </t>
  </si>
  <si>
    <t xml:space="preserve"> Flanker Task; on diet - Difference Incompatible- compatible - Speed per item (sec.)</t>
  </si>
  <si>
    <t>Channon et al 2007 off diet</t>
  </si>
  <si>
    <t>Flanker task, Comp-inc N cor</t>
  </si>
  <si>
    <t>Flanker task; off diet - Difference compatible-incompatible - Number correct</t>
  </si>
  <si>
    <t xml:space="preserve">Flanker Task, Inc-comp Speed </t>
  </si>
  <si>
    <t xml:space="preserve"> Flanker Task; off diet - Difference incomp-compatible trials- Speed per item (sec.)</t>
  </si>
  <si>
    <t>Hayling Sentence Completion B - cor/sec.</t>
  </si>
  <si>
    <t>Hayling Sentence Completion Test B  - Correct completions per sec.</t>
  </si>
  <si>
    <t>De Felice et al 2018</t>
  </si>
  <si>
    <t>Hayling Sentence Completion B-N err</t>
  </si>
  <si>
    <t>Hayling Sentence Completion Test - Part 2  - N errors</t>
  </si>
  <si>
    <t xml:space="preserve">Hayling Sentence Completion B-Time </t>
  </si>
  <si>
    <t xml:space="preserve">Hayling Sentence Completion Test Part 2 - Time (sec.) </t>
  </si>
  <si>
    <t>Block Cyclic Naming-Diff 4th-1st cycle-RT</t>
  </si>
  <si>
    <t>Block Cyclic Naming Semantic Interference -  4th cycle-1st cycle - RT</t>
  </si>
  <si>
    <t>Continuous Naming - 5th-1st pos-% err</t>
  </si>
  <si>
    <t>Naming Semantic Interference Task - Difference position 5-1 - % errors</t>
  </si>
  <si>
    <t>Continuous Naming -  5th-1st pos-RT</t>
  </si>
  <si>
    <t>Naming Semantic Interference Task - Difference position 5-1 - RT</t>
  </si>
  <si>
    <t>Sunderman et al 2020</t>
  </si>
  <si>
    <t>Go-No go cor RT</t>
  </si>
  <si>
    <t>Go-No go Err</t>
  </si>
  <si>
    <t>Moyle et al 2006</t>
  </si>
  <si>
    <t>Go-No go RT  (only no go)</t>
  </si>
  <si>
    <t>Early treated</t>
  </si>
  <si>
    <t xml:space="preserve">Go-No go false alarms </t>
  </si>
  <si>
    <t>errors for no-go trials</t>
  </si>
  <si>
    <t>Sustained attention</t>
  </si>
  <si>
    <t>Burgard et al 1997 - German</t>
  </si>
  <si>
    <t>Dot pattern-Level-Time</t>
  </si>
  <si>
    <t>Level of dot pattern exercise; adults german vs controls - Time</t>
  </si>
  <si>
    <t>Within  3 months</t>
  </si>
  <si>
    <t>5 years</t>
  </si>
  <si>
    <t>Dot pattern-Stabililty-Time</t>
  </si>
  <si>
    <t>Stability dot pattern exercise; adults french vs controls - Time</t>
  </si>
  <si>
    <t>Schmidt et al 1994</t>
  </si>
  <si>
    <t>Dot pattern exercise t1 - N err</t>
  </si>
  <si>
    <t>Dot pattern exercise T1 - N errors</t>
  </si>
  <si>
    <t>Dot pattern exercise t1 - RT</t>
  </si>
  <si>
    <t>Dot pattern exercise T1 - RT</t>
  </si>
  <si>
    <t>Jahja et al 2017</t>
  </si>
  <si>
    <t>Dots task - N err</t>
  </si>
  <si>
    <t>Sustained attention dots task - N errors</t>
  </si>
  <si>
    <t>Dots task - Series time</t>
  </si>
  <si>
    <t>Sustained attention dots task - Mean series time (sec.)</t>
  </si>
  <si>
    <t>D2 Test - N correct; baseline</t>
  </si>
  <si>
    <t>D2 Test - N correct - mistakes</t>
  </si>
  <si>
    <t xml:space="preserve">3 </t>
  </si>
  <si>
    <t>Telephone Search - N tones/min</t>
  </si>
  <si>
    <t>Telephone Search - N of tones counted per minute</t>
  </si>
  <si>
    <t>Rapid Visual Processing - % err</t>
  </si>
  <si>
    <t>Rapid visual Information Processing -RVP -  % errors</t>
  </si>
  <si>
    <t>Dot pattern exercise t1-RT</t>
  </si>
  <si>
    <t>Sonnevitle Visual Attention Task - Dot Pattern Exercise t1 - RT in sec</t>
  </si>
  <si>
    <t>Higher Language Skills</t>
  </si>
  <si>
    <t>Verbal Narrative - Speech rate</t>
  </si>
  <si>
    <t>Verbal Narrative - Speech Rate</t>
  </si>
  <si>
    <t>Verbal Narrative - Mean utterance length</t>
  </si>
  <si>
    <t>Verbal Narrative - Main concepts - % cor</t>
  </si>
  <si>
    <t xml:space="preserve">Verbal Narrative - Main concepts - %  correct answers </t>
  </si>
  <si>
    <t xml:space="preserve">Verbal Narrative - % cor info units </t>
  </si>
  <si>
    <t>Verbal Narrative - Correct information units (% of total words)</t>
  </si>
  <si>
    <t>Emotional Prosody - N err</t>
  </si>
  <si>
    <t>Emotional Prosody - N errors</t>
  </si>
  <si>
    <t>Non Emotional Prosody - N err</t>
  </si>
  <si>
    <t>Non Emotional Prosody - N errors</t>
  </si>
  <si>
    <t>Conflicting Prosody - N err</t>
  </si>
  <si>
    <t>Conflicting Prosody - N errors</t>
  </si>
  <si>
    <t>Metaphor Picture  - N err</t>
  </si>
  <si>
    <t>Metaphor Picture Test - N errors</t>
  </si>
  <si>
    <t>Metaphor Picture  - Time</t>
  </si>
  <si>
    <t>Metaphor Picture Test - Total time (sec.)</t>
  </si>
  <si>
    <t>Appreciation of Humour-N err</t>
  </si>
  <si>
    <t>Appreciation of Humour Test -  N errors</t>
  </si>
  <si>
    <t>Appreciation of Humour-Time</t>
  </si>
  <si>
    <t>Appreciation of Humour Test - Time (sec.)</t>
  </si>
  <si>
    <t>Inferred meaning - N err</t>
  </si>
  <si>
    <t>Comprehension of Inferred meaning Test -  N errors</t>
  </si>
  <si>
    <t xml:space="preserve">Inferred meaning - Time </t>
  </si>
  <si>
    <t>Comprehension of Inferred meaning Test - Time (sec.)</t>
  </si>
  <si>
    <t>WASI Vocabulary - N cor</t>
  </si>
  <si>
    <t>WASI Vocabulary - N correct</t>
  </si>
  <si>
    <t>WASI Similarities - N cor</t>
  </si>
  <si>
    <t>WASI Similarities - N correct</t>
  </si>
  <si>
    <t>0,1,2 back - % cor</t>
  </si>
  <si>
    <t>Combined 0 back, 1 back, 2 back task - % correct  -on diet</t>
  </si>
  <si>
    <t>Combined 0 back, 1 back, 2 back task -  % correct - off diet</t>
  </si>
  <si>
    <t>0,1,2 back - Speed</t>
  </si>
  <si>
    <t>Combined 0 back, 1 back, 2 back task - Speed per item -off diet</t>
  </si>
  <si>
    <t>WMS-III Auditory Immediate Memory</t>
  </si>
  <si>
    <t>Auditory Immediate Memory score (WMS III)</t>
  </si>
  <si>
    <t>cont treat, but off  diet</t>
  </si>
  <si>
    <t>Digit span</t>
  </si>
  <si>
    <t>Nonword repetition - % err</t>
  </si>
  <si>
    <t>Nonword repetition - % errors</t>
  </si>
  <si>
    <t>Visual STM</t>
  </si>
  <si>
    <t>Self ordered pointing - N cor</t>
  </si>
  <si>
    <t>Self ordered pointing test - N correct</t>
  </si>
  <si>
    <t>Self ordered pointing-N err</t>
  </si>
  <si>
    <t>Petrides &amp; Milner, 1982</t>
  </si>
  <si>
    <t>Feature integration-N err</t>
  </si>
  <si>
    <t>Feature integration - N errors</t>
  </si>
  <si>
    <t>Feature integration-RT</t>
  </si>
  <si>
    <t>Feature integration - RT</t>
  </si>
  <si>
    <t>Visuospatial sequencing-N cor</t>
  </si>
  <si>
    <t>Visuospatial sequencing task - N correct</t>
  </si>
  <si>
    <t>WMS-III Visual Immedjate Memory</t>
  </si>
  <si>
    <t xml:space="preserve">Visual Immediate memory score(WMS III) </t>
  </si>
  <si>
    <t>Corsi span</t>
  </si>
  <si>
    <t>Verbal learning LTM</t>
  </si>
  <si>
    <t>Rey AVLT - Delayed recognition % cor</t>
  </si>
  <si>
    <t>Rey AVLT recognition - % correct</t>
  </si>
  <si>
    <t>Rey AVLT delayed recall - % recognition</t>
  </si>
  <si>
    <t>WMS-III - Auditory delayed recall</t>
  </si>
  <si>
    <t xml:space="preserve">Auditory delayed (WMS III) - Score </t>
  </si>
  <si>
    <t>off diet</t>
  </si>
  <si>
    <t>WMS-III - Delayed recognition</t>
  </si>
  <si>
    <t xml:space="preserve">Auditory recognition delayed (WMS III) -Score </t>
  </si>
  <si>
    <t>Rey AVLT- Recall - % err</t>
  </si>
  <si>
    <t>Rey AVLT - % errors over 5 trials</t>
  </si>
  <si>
    <t>Rey AVLT - Delayed recall  - % err</t>
  </si>
  <si>
    <t>Ret AVLT delayed recall - % errors</t>
  </si>
  <si>
    <t>P-ass-Verl - Recall - % err</t>
  </si>
  <si>
    <t>P-ass-VL - % errors over 5 trials</t>
  </si>
  <si>
    <t>P-ass-Verl - Delayed recall - % err</t>
  </si>
  <si>
    <t>P-ass-VL delayed recall - % errors</t>
  </si>
  <si>
    <t>P-ass-VL - % errors</t>
  </si>
  <si>
    <t>Story memory-immediate</t>
  </si>
  <si>
    <t>Unit recalled</t>
  </si>
  <si>
    <t>Story memory-delayed</t>
  </si>
  <si>
    <t>Visual learning LTM</t>
  </si>
  <si>
    <t>Rey Figure recall-% cor</t>
  </si>
  <si>
    <t>Rey figure test from memory second assessment - % correct</t>
  </si>
  <si>
    <t>Complex figure recogntion-% cor</t>
  </si>
  <si>
    <t>Complex figure test recognition -  % correct</t>
  </si>
  <si>
    <t>Complex figure delayed-% cor</t>
  </si>
  <si>
    <t>Complex figure test delayed recall-% correct</t>
  </si>
  <si>
    <t>WMS-III Visual delayed</t>
  </si>
  <si>
    <t>Visual Delayed  WMS III  - Score</t>
  </si>
  <si>
    <t>P-ass VisL % err</t>
  </si>
  <si>
    <t>Delayed matching to sample -% errors</t>
  </si>
  <si>
    <t>P-ass-VisL % err</t>
  </si>
  <si>
    <t>P-ass VisL % errors. Delayed match to sample % errors</t>
  </si>
  <si>
    <t>Rey Figue recall-Raw score</t>
  </si>
  <si>
    <t xml:space="preserve"> Rey complex figure raw scores - N correct vs siblings </t>
  </si>
  <si>
    <t>Visuo-spatial skills</t>
  </si>
  <si>
    <t>Rey Figure copy</t>
  </si>
  <si>
    <t>Rey Figure Test with copy at second assessment - N correct</t>
  </si>
  <si>
    <t>Complex figure copy immediate</t>
  </si>
  <si>
    <t>Complex Figure Test -initial copy - % correct</t>
  </si>
  <si>
    <t>PJT-shape match-% cor</t>
  </si>
  <si>
    <t>Perceptual Judgesment task: Shape matching - % correct</t>
  </si>
  <si>
    <t>PJT-shape match-speed</t>
  </si>
  <si>
    <t>Perceptual Judgesment task: Shape Matching - Speed per item</t>
  </si>
  <si>
    <t>PJT-function match-% cor</t>
  </si>
  <si>
    <t>Perceptual Judgesment task: Function matching -  % correct</t>
  </si>
  <si>
    <t>PJT-function match-speed</t>
  </si>
  <si>
    <t>Perceptual Judgesment task: Function matching - Speed per item</t>
  </si>
  <si>
    <t xml:space="preserve">Perceptual judgement task:shape matching;  off diet - % correct </t>
  </si>
  <si>
    <t xml:space="preserve">Perceptual judgement task:shape matching; off diet vs controls - Speed per item </t>
  </si>
  <si>
    <t>Perceptual judgement: function matching;  off diet -  % correct</t>
  </si>
  <si>
    <t xml:space="preserve">Perceptual judgement: function matching; off diet vs controls - Speed per item </t>
  </si>
  <si>
    <t>Simple RT-Visuo-spatial</t>
  </si>
  <si>
    <t>Finger motor speed</t>
  </si>
  <si>
    <t>Finger motor speed exercise adults german vs controls - Time</t>
  </si>
  <si>
    <t>Simple detection-RT</t>
  </si>
  <si>
    <t>Simple Detection - RT</t>
  </si>
  <si>
    <t>Dawson et al 2011 - off diet</t>
  </si>
  <si>
    <t>reciprocal saccade latency</t>
  </si>
  <si>
    <t>Reciprocal of saccade latency</t>
  </si>
  <si>
    <t>early in life</t>
  </si>
  <si>
    <t>until adolescence</t>
  </si>
  <si>
    <t>Dawson et al 2011 - on diet</t>
  </si>
  <si>
    <t>Visual spatial attention RT</t>
  </si>
  <si>
    <t>Memory search-low load-RT</t>
  </si>
  <si>
    <t>Memory search 2 dimension task - low memory load RT</t>
  </si>
  <si>
    <t>Memory search-high load-RT</t>
  </si>
  <si>
    <t>Memory search 2 dimension task - high memory load - RT</t>
  </si>
  <si>
    <t>Choice - RT</t>
  </si>
  <si>
    <t>Choice Reaction time - RT</t>
  </si>
  <si>
    <t>Detection w/distractors - RT</t>
  </si>
  <si>
    <t>Detection with distractors - RT</t>
  </si>
  <si>
    <t>Feature search - RT</t>
  </si>
  <si>
    <t>Conjoined search - RT</t>
  </si>
  <si>
    <t>ADM visual search - RT</t>
  </si>
  <si>
    <t>Attention Diagnostic Method - ADM visual search; unaffected siblings - Time (sec.)</t>
  </si>
  <si>
    <t>Visuo-spatial attention acc</t>
  </si>
  <si>
    <t>Memory search-low load - N err</t>
  </si>
  <si>
    <t>Memory search 2 dimension task - Low memory load  - N errors</t>
  </si>
  <si>
    <t>Memory search-high load - N err</t>
  </si>
  <si>
    <t>Memory search 2 dimension task - high memory load - N errors</t>
  </si>
  <si>
    <t>Choice RT- % err</t>
  </si>
  <si>
    <t>Choice Reaction time -  % errors</t>
  </si>
  <si>
    <t>Detection w/distractors - % err</t>
  </si>
  <si>
    <t>Detection with distractors - % errors</t>
  </si>
  <si>
    <t>Feature search - % err</t>
  </si>
  <si>
    <t>Feature search - % errors</t>
  </si>
  <si>
    <t>Conjunction search - % err</t>
  </si>
  <si>
    <t>Conjoined Search - % errors</t>
  </si>
  <si>
    <t>Visuo motor control</t>
  </si>
  <si>
    <t>Pietz et al 1998</t>
  </si>
  <si>
    <t>Long pins/ short pins pegboard-Time</t>
  </si>
  <si>
    <t>MLS Long pins/ short pins pegboard -  Time (sec.)</t>
  </si>
  <si>
    <t>Slow Video Tracking-Level dist</t>
  </si>
  <si>
    <t>Slow Video Tracking task level distance</t>
  </si>
  <si>
    <t>Slow Video Tracking-Stability dist</t>
  </si>
  <si>
    <t>Slow Video Tracking task stability distance</t>
  </si>
  <si>
    <t>Fast Video Tracking - Level dist</t>
  </si>
  <si>
    <t>Fast Video Tracking task level distance</t>
  </si>
  <si>
    <t>Fast Video Tracking - Stability dist</t>
  </si>
  <si>
    <t>Fast Video Tracking task stability distance</t>
  </si>
  <si>
    <t>MLS steadiness - N err</t>
  </si>
  <si>
    <t>MLS steadiness N error</t>
  </si>
  <si>
    <t>MLS steadiness - Duration</t>
  </si>
  <si>
    <t>MLS steadiness duration - Does not specify but assume seconds</t>
  </si>
  <si>
    <t>MLS line following - N err</t>
  </si>
  <si>
    <t>MLS line following N error</t>
  </si>
  <si>
    <t xml:space="preserve">MLS line following - Duration </t>
  </si>
  <si>
    <t xml:space="preserve">MLS line following duration </t>
  </si>
  <si>
    <t>MLS rotor circle - N err</t>
  </si>
  <si>
    <t>MLS rotor circle - N error</t>
  </si>
  <si>
    <t xml:space="preserve">MLS rotor circle - Duration </t>
  </si>
  <si>
    <t xml:space="preserve">MLS rotor circle duration </t>
  </si>
  <si>
    <t>Bartus et al 2018</t>
  </si>
  <si>
    <t>Motor screening test-Err score</t>
  </si>
  <si>
    <t>Motor screening test (error raw score)</t>
  </si>
  <si>
    <t xml:space="preserve">Grooved pegboard - Time </t>
  </si>
  <si>
    <t>Grooved pegboard - Time (sec.)</t>
  </si>
  <si>
    <t>Naming  RT</t>
  </si>
  <si>
    <t>Block Cyclic Naming-RT</t>
  </si>
  <si>
    <t>Block cyclic naming -  RT (ms)</t>
  </si>
  <si>
    <t xml:space="preserve">Continuous Picture Naming-RT </t>
  </si>
  <si>
    <t>Picture Naming - RT (ms)</t>
  </si>
  <si>
    <t>Colour Naming-RT</t>
  </si>
  <si>
    <t>Colour Naming - RT (ms)</t>
  </si>
  <si>
    <t>Word Reading-RT</t>
  </si>
  <si>
    <t>Word Reading - RT (ms)</t>
  </si>
  <si>
    <t>Non-word reading-RT</t>
  </si>
  <si>
    <t>Non-word reading - RT (ms)</t>
  </si>
  <si>
    <t>Stroop: neutral condition-RT</t>
  </si>
  <si>
    <t>Stroop: neutral condition - RT - Group 1 Placebo second session</t>
  </si>
  <si>
    <t>Stroop: neutral condition - RT - Group 2 Placebo first session</t>
  </si>
  <si>
    <t>Block Cyclic Naming 1st cycle - % err</t>
  </si>
  <si>
    <t>Block Cyclic Naming - %  errors (1st cycle errors)</t>
  </si>
  <si>
    <t>Continuous Picture Naming - % err</t>
  </si>
  <si>
    <t>Picture Naming - % errors</t>
  </si>
  <si>
    <t>Colour Naming - % err</t>
  </si>
  <si>
    <t>Colour Naming - % errors</t>
  </si>
  <si>
    <t>Word Reading - % err</t>
  </si>
  <si>
    <t>Word Reading - % errors</t>
  </si>
  <si>
    <t>Non-word reading - % err</t>
  </si>
  <si>
    <t>Non-word reading - % errors</t>
  </si>
  <si>
    <t>Verbal Narrative - % err</t>
  </si>
  <si>
    <t>Verbal Narrative - %  Error/ total words</t>
  </si>
  <si>
    <t>Spelling</t>
  </si>
  <si>
    <t>Word Spelling - % err</t>
  </si>
  <si>
    <t>Word Spelling - % errors</t>
  </si>
  <si>
    <t>Non-Word Spelling - % err</t>
  </si>
  <si>
    <t>Non - Word Spelling - % errors</t>
  </si>
  <si>
    <t>Phonological Tasks</t>
  </si>
  <si>
    <t>Phoneme Deletion - % err</t>
  </si>
  <si>
    <t>Phoneme Deletion - % errors</t>
  </si>
  <si>
    <t>Spoonerisms  - % err</t>
  </si>
  <si>
    <t>Spoonerisms  - % errors</t>
  </si>
  <si>
    <t>Social Cognition</t>
  </si>
  <si>
    <t>Jahja et al 2016</t>
  </si>
  <si>
    <t>Reading the mind in the eyes-Score</t>
  </si>
  <si>
    <t>Reading the mind in the eyes (RME) - high score indicate better ability to recognise emotions . (ToM)</t>
  </si>
  <si>
    <t>ANT Facial Recognition  - % err</t>
  </si>
  <si>
    <t>ANT Facial Recognition  - % errors</t>
  </si>
  <si>
    <t>ANT Facial Recognition-RT</t>
  </si>
  <si>
    <t>ANT Facial Recognition - RT</t>
  </si>
  <si>
    <t>ANT identification of facial emotions-% err</t>
  </si>
  <si>
    <t>ANT identification of facial emotions - % errors</t>
  </si>
  <si>
    <t>ANT identification of facial emotions-RT</t>
  </si>
  <si>
    <t>ANT identification of facial emotions - RT</t>
  </si>
  <si>
    <t>Faux-pas Recogntion Test - Score</t>
  </si>
  <si>
    <t xml:space="preserve">Faux - pas Recogntion Test Score - High score indicate better ability </t>
  </si>
  <si>
    <t>Palermo et al 2020</t>
  </si>
  <si>
    <t>Identity Test Accuracy - N correct</t>
  </si>
  <si>
    <t xml:space="preserve">Identity Test  - Time </t>
  </si>
  <si>
    <t>Identity Test  - Time (sec,)</t>
  </si>
  <si>
    <t>Affect Selection - N correct</t>
  </si>
  <si>
    <t xml:space="preserve">Affect Selection - Time </t>
  </si>
  <si>
    <t>Affect Selection - Time (sec.)</t>
  </si>
  <si>
    <t>3 Face Test - Accuracy - N correct</t>
  </si>
  <si>
    <t xml:space="preserve">3 Face Test - Time </t>
  </si>
  <si>
    <t>3 Face Test - Time (sec.)</t>
  </si>
  <si>
    <t>Face memory</t>
  </si>
  <si>
    <t>standard score</t>
  </si>
  <si>
    <t>Face closure</t>
  </si>
  <si>
    <t>number correct</t>
  </si>
  <si>
    <t>IQ**= studies where groups were matched for IQ</t>
  </si>
  <si>
    <t>IQ</t>
  </si>
  <si>
    <t>WISC-R &amp; WAIS-R</t>
  </si>
  <si>
    <t>WISC-R &amp; WAIS-R - German Group</t>
  </si>
  <si>
    <t>IQ*</t>
  </si>
  <si>
    <t>WASI - Performance Index</t>
  </si>
  <si>
    <t>WASI - Verbal Index</t>
  </si>
  <si>
    <t>WASI - Full scale-on diet</t>
  </si>
  <si>
    <t>WASI - Full scale - on diet</t>
  </si>
  <si>
    <t>WASI - Full scale-off diet</t>
  </si>
  <si>
    <t>WASI - Full scale - off diet</t>
  </si>
  <si>
    <t>WASI - Full scale</t>
  </si>
  <si>
    <t>WISC-III and WAIS III Vocabulary/Block Design</t>
  </si>
  <si>
    <t>WISC-III and WAIS III Vocabulary and Block Design</t>
  </si>
  <si>
    <t xml:space="preserve">WAIS III - Perceptual Organisation Index </t>
  </si>
  <si>
    <t xml:space="preserve">WAIS III - Processing Speed Index </t>
  </si>
  <si>
    <t xml:space="preserve">WAIS III - Working Memory Index </t>
  </si>
  <si>
    <t>WAIS-R - Full scale</t>
  </si>
  <si>
    <t>WAIS - Full scale; baseline</t>
  </si>
  <si>
    <t>WAIS - Full scale</t>
  </si>
  <si>
    <t>oteher than IQ</t>
  </si>
  <si>
    <t>Only tasks including speed measures</t>
  </si>
  <si>
    <t>For Weglage only IQ at Time 0 has been used to make it consistent with sustained attention average should be used</t>
  </si>
  <si>
    <t>Age</t>
  </si>
  <si>
    <r>
      <t>Current phe in</t>
    </r>
    <r>
      <rPr>
        <b/>
        <sz val="10"/>
        <color rgb="FF000000"/>
        <rFont val="Symbol"/>
        <family val="1"/>
        <charset val="2"/>
      </rPr>
      <t xml:space="preserve"> m</t>
    </r>
    <r>
      <rPr>
        <b/>
        <sz val="10"/>
        <color rgb="FF000000"/>
        <rFont val="Calibri"/>
        <family val="2"/>
        <scheme val="minor"/>
      </rPr>
      <t>mol/L</t>
    </r>
  </si>
  <si>
    <t>Age of diet treatment</t>
  </si>
  <si>
    <t>Controls matched for</t>
  </si>
  <si>
    <t>Study</t>
  </si>
  <si>
    <t>Subgroup/condition</t>
  </si>
  <si>
    <t>Nation</t>
  </si>
  <si>
    <t>N</t>
  </si>
  <si>
    <t>N F</t>
  </si>
  <si>
    <t>Bartus et al. (2018)</t>
  </si>
  <si>
    <t>Hungary</t>
  </si>
  <si>
    <t>birth</t>
  </si>
  <si>
    <t>Bugard et al. (1997)</t>
  </si>
  <si>
    <t>on diet</t>
  </si>
  <si>
    <t>German</t>
  </si>
  <si>
    <t>&lt;1 m</t>
  </si>
  <si>
    <t>Channon et al. (2004)</t>
  </si>
  <si>
    <t>British</t>
  </si>
  <si>
    <t>IQ, Ed, SES</t>
  </si>
  <si>
    <t>Channon et al. (2005)</t>
  </si>
  <si>
    <t xml:space="preserve"> IQ, Ed</t>
  </si>
  <si>
    <t>Channon et al. (2007)</t>
  </si>
  <si>
    <t>&lt;3 m</t>
  </si>
  <si>
    <t>25 stopped diet 10 years+</t>
  </si>
  <si>
    <t>Ed</t>
  </si>
  <si>
    <t>Dawson et al (2011)</t>
  </si>
  <si>
    <t>De Felice et al. (2018)</t>
  </si>
  <si>
    <t>Same PKU group different tasks</t>
  </si>
  <si>
    <t>7 not on diet at time of testing</t>
  </si>
  <si>
    <t xml:space="preserve">Ed </t>
  </si>
  <si>
    <t>Palermo et al. (2017)</t>
  </si>
  <si>
    <t>Palermo et al. (2020)</t>
  </si>
  <si>
    <t>Jahia et al. (2016)</t>
  </si>
  <si>
    <t>Dutch</t>
  </si>
  <si>
    <t>Jahia et al. (2017)</t>
  </si>
  <si>
    <t>Moyle et al. (2006)</t>
  </si>
  <si>
    <t>Australian</t>
  </si>
  <si>
    <t>Moyle et al. (2007)</t>
  </si>
  <si>
    <t>not on diet at testing</t>
  </si>
  <si>
    <t>Nardecchia et al. (2015)</t>
  </si>
  <si>
    <t>Only adult results  (2nd assessment)</t>
  </si>
  <si>
    <t>Italian</t>
  </si>
  <si>
    <t>Pietz et al. (1998)</t>
  </si>
  <si>
    <t>Ris et al (1994)</t>
  </si>
  <si>
    <t>USA</t>
  </si>
  <si>
    <t>8 stopped diet before adolescence</t>
  </si>
  <si>
    <t>SES</t>
  </si>
  <si>
    <t>Romani et al. (2020)</t>
  </si>
  <si>
    <t>Only Italian group</t>
  </si>
  <si>
    <t>Schmidt et al. (1994)</t>
  </si>
  <si>
    <t>Baseline data time1</t>
  </si>
  <si>
    <t>Smith et al (1996)</t>
  </si>
  <si>
    <t>Low Phe</t>
  </si>
  <si>
    <t>Canada</t>
  </si>
  <si>
    <t>High Phe</t>
  </si>
  <si>
    <t>Sundermann et al (2011)</t>
  </si>
  <si>
    <t>G1 placebo 1st</t>
  </si>
  <si>
    <t>G2 placebo 2nd</t>
  </si>
  <si>
    <t>Sundermann et al (2020)</t>
  </si>
  <si>
    <t>Not specified</t>
  </si>
  <si>
    <t>Ulrich et al., (1996)</t>
  </si>
  <si>
    <t>On average on diet untill 10 years old</t>
  </si>
  <si>
    <t>Weglage et al. (2013)</t>
  </si>
  <si>
    <t>baseline data</t>
  </si>
  <si>
    <t>Average</t>
  </si>
  <si>
    <t>25 lines</t>
  </si>
  <si>
    <t>23artcles with two groups each</t>
  </si>
  <si>
    <t xml:space="preserve">N articles </t>
  </si>
  <si>
    <t>1  artcle pair with the same PKU groups</t>
  </si>
  <si>
    <t>1 triplet with same Pku</t>
  </si>
  <si>
    <t xml:space="preserve">N studies </t>
  </si>
  <si>
    <t>23+3-3=23</t>
  </si>
  <si>
    <t>Pilotto et al., 2021</t>
  </si>
  <si>
    <t>Pilotto average Phe</t>
  </si>
  <si>
    <t>10 on diet/9 on diet till 18</t>
  </si>
  <si>
    <t>Pilotto et al 2021</t>
  </si>
  <si>
    <t>Trail making B -Time (sec.)</t>
  </si>
  <si>
    <t>TMT B</t>
  </si>
  <si>
    <t>Test D2</t>
  </si>
  <si>
    <t>N correct?</t>
  </si>
  <si>
    <t>Language  Accuracy</t>
  </si>
  <si>
    <t>Token test</t>
  </si>
  <si>
    <t>Boston Naming</t>
  </si>
  <si>
    <t>Baxt ideomotor apraxia</t>
  </si>
  <si>
    <t>Pilotto 2021</t>
  </si>
  <si>
    <t>Story recall</t>
  </si>
  <si>
    <t>Hopt et al 2020 - off diet</t>
  </si>
  <si>
    <t>Hopt et al 2020 - on diet</t>
  </si>
  <si>
    <t xml:space="preserve">Note </t>
  </si>
  <si>
    <t>50th centile</t>
  </si>
  <si>
    <t xml:space="preserve">Age </t>
  </si>
  <si>
    <t>gender</t>
  </si>
  <si>
    <t>m</t>
  </si>
  <si>
    <t>f</t>
  </si>
  <si>
    <t>DIET IN</t>
  </si>
  <si>
    <t>11 d</t>
  </si>
  <si>
    <t>3d</t>
  </si>
  <si>
    <t>1 m</t>
  </si>
  <si>
    <t>3 m</t>
  </si>
  <si>
    <t>PKU</t>
  </si>
  <si>
    <t>Controls</t>
  </si>
  <si>
    <t>N=14</t>
  </si>
  <si>
    <t>15-24</t>
  </si>
  <si>
    <t>Leuzzi et al., 2014 to be included</t>
  </si>
  <si>
    <t>S. Abgottspon et al, 2022</t>
  </si>
  <si>
    <t>Aitkenhead et al.  2021</t>
  </si>
  <si>
    <t>included</t>
  </si>
  <si>
    <r>
      <rPr>
        <b/>
        <sz val="11"/>
        <color theme="1"/>
        <rFont val="Calibri"/>
        <family val="2"/>
        <scheme val="minor"/>
      </rPr>
      <t xml:space="preserve">excluded </t>
    </r>
    <r>
      <rPr>
        <sz val="11"/>
        <color theme="1"/>
        <rFont val="Calibri"/>
        <family val="2"/>
        <scheme val="minor"/>
      </rPr>
      <t>non enough information on cognitive tasks</t>
    </r>
  </si>
  <si>
    <r>
      <rPr>
        <b/>
        <sz val="11"/>
        <color theme="1"/>
        <rFont val="Calibri"/>
        <family val="2"/>
        <scheme val="minor"/>
      </rPr>
      <t xml:space="preserve">excluded </t>
    </r>
    <r>
      <rPr>
        <sz val="11"/>
        <color theme="1"/>
        <rFont val="Calibri"/>
        <family val="2"/>
        <scheme val="minor"/>
      </rPr>
      <t xml:space="preserve">mixed group </t>
    </r>
  </si>
  <si>
    <t xml:space="preserve">Hopt et al 2021 </t>
  </si>
  <si>
    <t xml:space="preserve">Hellewell et al. 2021  </t>
  </si>
  <si>
    <r>
      <rPr>
        <b/>
        <sz val="11"/>
        <color theme="1"/>
        <rFont val="Calibri"/>
        <family val="2"/>
        <scheme val="minor"/>
      </rPr>
      <t xml:space="preserve">excluded </t>
    </r>
    <r>
      <rPr>
        <sz val="11"/>
        <color theme="1"/>
        <rFont val="Calibri"/>
        <family val="2"/>
        <scheme val="minor"/>
      </rPr>
      <t>mixed group 14-36 (but no interaction wit age) also data will have to be extracted from figure</t>
    </r>
  </si>
  <si>
    <t>Aitkenhead et al 2021</t>
  </si>
  <si>
    <t>Digit span (from WAIS IV)</t>
  </si>
  <si>
    <t>Aitkenhead et al. (2021</t>
  </si>
  <si>
    <t>Christ et al., 2021</t>
  </si>
  <si>
    <t>* Ph e as IDC&gt;18</t>
  </si>
  <si>
    <t>CVLT-II Trials 1-5</t>
  </si>
  <si>
    <t>Aitkenhead et al 2022</t>
  </si>
  <si>
    <t>Semantic fluency animals - N correct</t>
  </si>
  <si>
    <t>Letter fluency 'S' - N correct</t>
  </si>
  <si>
    <t>DKefs Card Sorting</t>
  </si>
  <si>
    <t>Digit/symbol coding</t>
  </si>
  <si>
    <t>Symbol-digit matching test</t>
  </si>
  <si>
    <t>SD can be estimated; problem is that resutls are really outliers in terms of ES</t>
  </si>
  <si>
    <t>Verbal STM/WM</t>
  </si>
  <si>
    <t>Digit backwards (from WAIS IV)</t>
  </si>
  <si>
    <t>Digit span backwards</t>
  </si>
  <si>
    <t>Note results from Aitkenhead et al. are include as an estimated Galss Delta ES from average z score reported in the paper.</t>
  </si>
  <si>
    <t xml:space="preserve">Abgottspon et al. </t>
  </si>
  <si>
    <t>3 back - correct</t>
  </si>
  <si>
    <t xml:space="preserve">4 back - speed </t>
  </si>
  <si>
    <t xml:space="preserve">3 back - speed </t>
  </si>
  <si>
    <t>Lou et al., 1987</t>
  </si>
  <si>
    <t>Abgottspon et al. (2022)</t>
  </si>
  <si>
    <t>Swiss</t>
  </si>
  <si>
    <t>all on diet</t>
  </si>
  <si>
    <t xml:space="preserve">WAIS- IV short form </t>
  </si>
  <si>
    <t>matrix, symbol search, vocabulary, arthmetic</t>
  </si>
  <si>
    <t>earlier study????</t>
  </si>
  <si>
    <t>Individual results available from Leuzzi et al., 2014</t>
  </si>
  <si>
    <t>Patient ID</t>
  </si>
  <si>
    <t>Phe concurrent</t>
  </si>
  <si>
    <t>Memory span</t>
  </si>
  <si>
    <t xml:space="preserve">Recognition memory </t>
  </si>
  <si>
    <t xml:space="preserve">Attention </t>
  </si>
  <si>
    <t>No control group but standardized tests</t>
  </si>
  <si>
    <t>WCST</t>
  </si>
  <si>
    <t>pers resp</t>
  </si>
  <si>
    <t>errors</t>
  </si>
  <si>
    <t>Reyo Osterrieth Complex Figure Test -Copy</t>
  </si>
  <si>
    <t>Reyo Osterrieth Complex Figure Test - Memory</t>
  </si>
  <si>
    <t>Leiter-R  Battery</t>
  </si>
  <si>
    <t>both divided and sustained</t>
  </si>
  <si>
    <t>visual</t>
  </si>
  <si>
    <t>visual/associatie memory</t>
  </si>
  <si>
    <t>Leuzzi et al 2014</t>
  </si>
  <si>
    <t>Attention battery</t>
  </si>
  <si>
    <t>Leiter-R Battery standard score</t>
  </si>
  <si>
    <t>Associate memory</t>
  </si>
  <si>
    <t>Leuzzi et al 2015</t>
  </si>
  <si>
    <t>Rey Figure recall-standard score</t>
  </si>
  <si>
    <t>WCST- N errors</t>
  </si>
  <si>
    <t>percentile</t>
  </si>
  <si>
    <t>z-score</t>
  </si>
  <si>
    <t>mean of standard score distribution</t>
  </si>
  <si>
    <t>SD of standard score distribution</t>
  </si>
  <si>
    <t>score associated with percentile</t>
  </si>
  <si>
    <t>Pilotto et al., 2021; data are in median value</t>
  </si>
  <si>
    <t>TMT A</t>
  </si>
  <si>
    <t>Memory span (visual)</t>
  </si>
  <si>
    <t>90th centile</t>
  </si>
  <si>
    <t>Simple detection - verry long RTs</t>
  </si>
  <si>
    <t>N Rts over 90th percentile</t>
  </si>
  <si>
    <t xml:space="preserve">Pilotto et al 2021 </t>
  </si>
  <si>
    <t>excluded</t>
  </si>
  <si>
    <t>Inbibition</t>
  </si>
  <si>
    <t>Sustained Attention</t>
  </si>
  <si>
    <t>Languate accuracy</t>
  </si>
  <si>
    <t>RTs scores are included only if they are a difference from base-line</t>
  </si>
  <si>
    <t xml:space="preserve">Higher language </t>
  </si>
  <si>
    <t>Executive Functions no timing score</t>
  </si>
  <si>
    <t xml:space="preserve">Language </t>
  </si>
  <si>
    <t>RT vs Accuracy</t>
  </si>
  <si>
    <t>acc</t>
  </si>
  <si>
    <t>time</t>
  </si>
  <si>
    <t>Choice detection- % err</t>
  </si>
  <si>
    <t>Choice detection- RT</t>
  </si>
  <si>
    <t>Choice detection - RT</t>
  </si>
  <si>
    <t>Rey AVLT - Recognition % cor</t>
  </si>
  <si>
    <t>verbal-memory</t>
  </si>
  <si>
    <t>visual-memory</t>
  </si>
  <si>
    <t>visual-RT</t>
  </si>
  <si>
    <t>verbal-RT</t>
  </si>
  <si>
    <t>Visaul detection speed</t>
  </si>
  <si>
    <t>Verbal vs Visual --based on RTs (but no simple detection)  and memory tasks</t>
  </si>
  <si>
    <t>Rey AVLT - Delayed recall  - % corr</t>
  </si>
  <si>
    <t>Complex figure delayed recall-% cor</t>
  </si>
  <si>
    <t>CWIT - Time</t>
  </si>
  <si>
    <t>Rey AVLT recall - % correct</t>
  </si>
  <si>
    <t>EF estimated ES= -0.52</t>
  </si>
  <si>
    <t>Language estimated ES:= -0.14</t>
  </si>
  <si>
    <t>P&lt;.001</t>
  </si>
  <si>
    <t>Estimated ES</t>
  </si>
  <si>
    <t>Verbal Tasks: -0.32</t>
  </si>
  <si>
    <t>Verbal Tasks: -1.49</t>
  </si>
  <si>
    <t>P=.002</t>
  </si>
  <si>
    <t>Glass delta SD</t>
  </si>
  <si>
    <t>t_diff</t>
  </si>
  <si>
    <t>mean</t>
  </si>
  <si>
    <t>sd</t>
  </si>
  <si>
    <t>SE</t>
  </si>
  <si>
    <t>mean diff</t>
  </si>
  <si>
    <t>SD diff</t>
  </si>
  <si>
    <t>rt</t>
  </si>
  <si>
    <t>controls</t>
  </si>
  <si>
    <t>compatible</t>
  </si>
  <si>
    <t>incompatible</t>
  </si>
  <si>
    <t>PKU off diet</t>
  </si>
  <si>
    <t>PKU on diet</t>
  </si>
  <si>
    <t>Rey AVLT-  Delayed recall - % corr</t>
  </si>
  <si>
    <t>Rey AVLT Recognition - % corr</t>
  </si>
  <si>
    <t>Rey AVLT - Delayed recall % cor</t>
  </si>
  <si>
    <t xml:space="preserve">COMPARISON TASKS WITH VERBAL vs VISUAL STIMULI - only RTs measures or memory/inhibition tasks </t>
  </si>
  <si>
    <t>Visual Inhibition</t>
  </si>
  <si>
    <t>Visual Sustained attention</t>
  </si>
  <si>
    <t>Verbal Inhibition</t>
  </si>
  <si>
    <t>Removed as an outlier ????</t>
  </si>
  <si>
    <t>Domain</t>
  </si>
  <si>
    <t>EF</t>
  </si>
  <si>
    <t>Language</t>
  </si>
  <si>
    <t>DOMAIN</t>
  </si>
  <si>
    <t>Verbal</t>
  </si>
  <si>
    <t>Visual</t>
  </si>
  <si>
    <t xml:space="preserve">Schmidt </t>
  </si>
  <si>
    <t>OVERAL N MEASURES</t>
  </si>
  <si>
    <t xml:space="preserve">OVERAL N MEASURES - NO iIQ </t>
  </si>
  <si>
    <t>measures exc;ided as outlierer EF &gt;2 SD from the mean of a function</t>
  </si>
  <si>
    <t>Naming RT</t>
  </si>
  <si>
    <t>Language Accuracy</t>
  </si>
  <si>
    <t>pilotto et al - estimated SD from:  https://www.math.hkbu.edu.hk/~tongt/papers/median2mean.html</t>
  </si>
  <si>
    <t>WCST- N categories-correct</t>
  </si>
  <si>
    <t xml:space="preserve">Note - only RT in non-memory tasks (since accuracy not different generally) - memory tasks include both </t>
  </si>
  <si>
    <t>Note results from Aitkenhead et al. are include as an estimated Galss Delta ES from average z score reported in the paper.   6 outliers Efs (more than 2.5 SD from function mean) are identified by greyed cells.</t>
  </si>
  <si>
    <t>N  pps</t>
  </si>
  <si>
    <t>Taks</t>
  </si>
  <si>
    <t xml:space="preserve"> Glass delta</t>
  </si>
  <si>
    <t>Performance</t>
  </si>
  <si>
    <t xml:space="preserve">Year </t>
  </si>
  <si>
    <t>Study  N</t>
  </si>
  <si>
    <t>Measure N</t>
  </si>
  <si>
    <t xml:space="preserve"> x̅ 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</si>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</sst>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4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9"/>
      <name val="Calibri"/>
      <family val="2"/>
      <scheme val="minor"/>
    </font>
    <font>
      <b/>
      <sz val="10"/>
      <name val="Calibri"/>
      <family val="2"/>
      <scheme val="minor"/>
    </font>
    <font>
      <i/>
      <sz val="9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Symbol"/>
      <family val="1"/>
      <charset val="2"/>
    </font>
    <font>
      <b/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theme="1"/>
      <name val="Times"/>
      <family val="1"/>
    </font>
    <font>
      <sz val="9"/>
      <color theme="1"/>
      <name val="Helvetica"/>
      <family val="2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2" fontId="2" fillId="0" borderId="3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2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wrapText="1"/>
    </xf>
    <xf numFmtId="1" fontId="1" fillId="0" borderId="0" xfId="0" quotePrefix="1" applyNumberFormat="1" applyFont="1" applyAlignment="1">
      <alignment horizontal="center" wrapText="1"/>
    </xf>
    <xf numFmtId="0" fontId="1" fillId="0" borderId="0" xfId="0" quotePrefix="1" applyFont="1" applyAlignment="1">
      <alignment horizontal="center" wrapText="1"/>
    </xf>
    <xf numFmtId="0" fontId="4" fillId="0" borderId="0" xfId="0" quotePrefix="1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3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1" fillId="0" borderId="0" xfId="0" applyFont="1" applyAlignment="1">
      <alignment horizontal="left" wrapText="1"/>
    </xf>
    <xf numFmtId="2" fontId="5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/>
    </xf>
    <xf numFmtId="2" fontId="7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1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left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vertical="center" wrapText="1"/>
    </xf>
    <xf numFmtId="0" fontId="17" fillId="0" borderId="0" xfId="0" applyFont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0" fillId="0" borderId="0" xfId="0" applyFill="1"/>
    <xf numFmtId="0" fontId="15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15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 wrapText="1"/>
    </xf>
    <xf numFmtId="0" fontId="1" fillId="5" borderId="0" xfId="0" applyFont="1" applyFill="1" applyAlignment="1">
      <alignment horizontal="center" wrapText="1"/>
    </xf>
    <xf numFmtId="2" fontId="1" fillId="6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164" fontId="1" fillId="7" borderId="0" xfId="0" applyNumberFormat="1" applyFont="1" applyFill="1" applyAlignment="1">
      <alignment horizontal="center"/>
    </xf>
    <xf numFmtId="164" fontId="7" fillId="7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2" fontId="1" fillId="7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2" fontId="1" fillId="5" borderId="0" xfId="0" applyNumberFormat="1" applyFont="1" applyFill="1" applyAlignment="1">
      <alignment horizontal="center" wrapText="1"/>
    </xf>
    <xf numFmtId="0" fontId="1" fillId="5" borderId="0" xfId="0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1" fillId="8" borderId="0" xfId="0" applyFont="1" applyFill="1" applyAlignment="1">
      <alignment horizontal="center"/>
    </xf>
    <xf numFmtId="0" fontId="3" fillId="8" borderId="0" xfId="0" applyFont="1" applyFill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2" fontId="1" fillId="4" borderId="0" xfId="0" applyNumberFormat="1" applyFont="1" applyFill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19" fillId="0" borderId="0" xfId="0" applyFont="1"/>
    <xf numFmtId="164" fontId="1" fillId="0" borderId="0" xfId="0" quotePrefix="1" applyNumberFormat="1" applyFont="1" applyAlignment="1">
      <alignment horizontal="center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12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1" fontId="15" fillId="0" borderId="0" xfId="0" applyNumberFormat="1" applyFont="1" applyAlignment="1">
      <alignment horizontal="center" vertical="center"/>
    </xf>
    <xf numFmtId="1" fontId="1" fillId="7" borderId="0" xfId="0" applyNumberFormat="1" applyFont="1" applyFill="1" applyAlignment="1">
      <alignment horizontal="center" wrapText="1"/>
    </xf>
    <xf numFmtId="0" fontId="0" fillId="7" borderId="0" xfId="0" applyFill="1"/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center" wrapText="1"/>
    </xf>
    <xf numFmtId="164" fontId="1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 wrapText="1"/>
    </xf>
    <xf numFmtId="2" fontId="1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5" borderId="0" xfId="0" applyFont="1" applyFill="1" applyAlignment="1">
      <alignment horizontal="center"/>
    </xf>
    <xf numFmtId="0" fontId="1" fillId="9" borderId="0" xfId="0" applyFont="1" applyFill="1" applyAlignment="1">
      <alignment horizontal="center" wrapText="1"/>
    </xf>
    <xf numFmtId="2" fontId="1" fillId="9" borderId="0" xfId="0" applyNumberFormat="1" applyFont="1" applyFill="1" applyAlignment="1">
      <alignment horizontal="center" wrapText="1"/>
    </xf>
    <xf numFmtId="0" fontId="1" fillId="9" borderId="0" xfId="0" applyFont="1" applyFill="1" applyAlignment="1">
      <alignment horizontal="center"/>
    </xf>
    <xf numFmtId="0" fontId="3" fillId="9" borderId="0" xfId="0" applyFont="1" applyFill="1" applyAlignment="1">
      <alignment horizontal="left"/>
    </xf>
    <xf numFmtId="0" fontId="16" fillId="10" borderId="0" xfId="0" applyFont="1" applyFill="1" applyBorder="1" applyAlignment="1">
      <alignment horizontal="center" vertical="center" wrapText="1"/>
    </xf>
    <xf numFmtId="0" fontId="15" fillId="10" borderId="0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vertical="center" wrapText="1"/>
    </xf>
    <xf numFmtId="0" fontId="12" fillId="10" borderId="0" xfId="0" applyFont="1" applyFill="1" applyBorder="1" applyAlignment="1">
      <alignment horizontal="center" vertical="center" wrapText="1"/>
    </xf>
    <xf numFmtId="0" fontId="15" fillId="10" borderId="0" xfId="0" applyFont="1" applyFill="1" applyAlignment="1">
      <alignment horizontal="center" vertical="center" wrapText="1"/>
    </xf>
    <xf numFmtId="0" fontId="12" fillId="10" borderId="0" xfId="0" applyFont="1" applyFill="1" applyBorder="1" applyAlignment="1">
      <alignment horizontal="center" vertical="center"/>
    </xf>
    <xf numFmtId="2" fontId="1" fillId="10" borderId="0" xfId="0" applyNumberFormat="1" applyFont="1" applyFill="1" applyAlignment="1">
      <alignment horizontal="center" wrapText="1"/>
    </xf>
    <xf numFmtId="1" fontId="15" fillId="10" borderId="0" xfId="0" applyNumberFormat="1" applyFont="1" applyFill="1" applyBorder="1" applyAlignment="1">
      <alignment horizontal="center" vertical="center" wrapText="1"/>
    </xf>
    <xf numFmtId="0" fontId="19" fillId="7" borderId="0" xfId="0" applyFont="1" applyFill="1"/>
    <xf numFmtId="0" fontId="0" fillId="0" borderId="0" xfId="0" applyAlignment="1">
      <alignment horizontal="center" wrapText="1"/>
    </xf>
    <xf numFmtId="0" fontId="1" fillId="7" borderId="0" xfId="0" applyFont="1" applyFill="1" applyAlignment="1">
      <alignment horizontal="center" wrapText="1"/>
    </xf>
    <xf numFmtId="2" fontId="1" fillId="7" borderId="0" xfId="0" applyNumberFormat="1" applyFont="1" applyFill="1" applyAlignment="1">
      <alignment horizontal="center" wrapText="1"/>
    </xf>
    <xf numFmtId="164" fontId="0" fillId="7" borderId="0" xfId="0" applyNumberForma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wrapText="1"/>
    </xf>
    <xf numFmtId="1" fontId="1" fillId="0" borderId="0" xfId="0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1" fillId="0" borderId="0" xfId="0" quotePrefix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4" fillId="0" borderId="0" xfId="0" quotePrefix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2" fontId="2" fillId="0" borderId="0" xfId="0" applyNumberFormat="1" applyFont="1" applyFill="1" applyAlignment="1">
      <alignment horizontal="center" wrapText="1"/>
    </xf>
    <xf numFmtId="1" fontId="5" fillId="0" borderId="0" xfId="0" applyNumberFormat="1" applyFont="1" applyFill="1" applyAlignment="1">
      <alignment horizontal="center" wrapText="1"/>
    </xf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 wrapText="1"/>
    </xf>
    <xf numFmtId="1" fontId="3" fillId="0" borderId="0" xfId="0" applyNumberFormat="1" applyFont="1" applyFill="1" applyAlignment="1">
      <alignment horizontal="center" vertical="center"/>
    </xf>
    <xf numFmtId="2" fontId="0" fillId="0" borderId="0" xfId="0" applyNumberFormat="1"/>
    <xf numFmtId="2" fontId="1" fillId="6" borderId="0" xfId="0" applyNumberFormat="1" applyFont="1" applyFill="1" applyAlignment="1">
      <alignment horizontal="center" wrapText="1"/>
    </xf>
    <xf numFmtId="2" fontId="7" fillId="0" borderId="0" xfId="0" applyNumberFormat="1" applyFont="1" applyFill="1" applyAlignment="1">
      <alignment horizontal="center" wrapText="1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11" borderId="0" xfId="0" applyFill="1"/>
    <xf numFmtId="0" fontId="2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1" fontId="1" fillId="0" borderId="0" xfId="0" quotePrefix="1" applyNumberFormat="1" applyFont="1" applyFill="1" applyAlignment="1">
      <alignment horizontal="center" wrapText="1"/>
    </xf>
    <xf numFmtId="0" fontId="2" fillId="0" borderId="1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2" fontId="2" fillId="0" borderId="0" xfId="0" applyNumberFormat="1" applyFont="1" applyBorder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2" fontId="2" fillId="9" borderId="0" xfId="0" applyNumberFormat="1" applyFont="1" applyFill="1" applyAlignment="1">
      <alignment horizontal="center" wrapText="1"/>
    </xf>
    <xf numFmtId="0" fontId="1" fillId="12" borderId="0" xfId="0" applyFont="1" applyFill="1" applyAlignment="1">
      <alignment horizontal="center" wrapText="1"/>
    </xf>
    <xf numFmtId="0" fontId="1" fillId="12" borderId="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vertical="center"/>
    </xf>
    <xf numFmtId="2" fontId="2" fillId="12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2" fillId="5" borderId="0" xfId="0" applyNumberFormat="1" applyFont="1" applyFill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2" fontId="5" fillId="0" borderId="0" xfId="0" applyNumberFormat="1" applyFont="1" applyFill="1" applyAlignment="1">
      <alignment horizontal="center" wrapText="1"/>
    </xf>
    <xf numFmtId="164" fontId="1" fillId="0" borderId="0" xfId="0" quotePrefix="1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 wrapText="1"/>
    </xf>
    <xf numFmtId="165" fontId="7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 wrapText="1"/>
    </xf>
    <xf numFmtId="2" fontId="2" fillId="0" borderId="0" xfId="0" quotePrefix="1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wrapText="1"/>
    </xf>
    <xf numFmtId="0" fontId="17" fillId="0" borderId="0" xfId="0" applyFont="1"/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7" fillId="0" borderId="1" xfId="0" applyFont="1" applyBorder="1"/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left" wrapText="1"/>
    </xf>
    <xf numFmtId="2" fontId="6" fillId="0" borderId="3" xfId="0" applyNumberFormat="1" applyFont="1" applyBorder="1" applyAlignment="1">
      <alignment horizont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left"/>
    </xf>
    <xf numFmtId="2" fontId="4" fillId="0" borderId="0" xfId="0" applyNumberFormat="1" applyFont="1" applyAlignment="1">
      <alignment horizontal="center" wrapText="1"/>
    </xf>
    <xf numFmtId="164" fontId="4" fillId="0" borderId="0" xfId="0" quotePrefix="1" applyNumberFormat="1" applyFont="1" applyAlignment="1">
      <alignment horizontal="center"/>
    </xf>
    <xf numFmtId="1" fontId="4" fillId="0" borderId="0" xfId="0" applyNumberFormat="1" applyFont="1" applyAlignment="1">
      <alignment horizontal="center" wrapText="1"/>
    </xf>
    <xf numFmtId="0" fontId="17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4" fillId="0" borderId="0" xfId="0" quotePrefix="1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1" fontId="1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wrapText="1"/>
    </xf>
    <xf numFmtId="2" fontId="8" fillId="0" borderId="0" xfId="0" applyNumberFormat="1" applyFont="1" applyAlignment="1">
      <alignment horizontal="center" wrapText="1"/>
    </xf>
    <xf numFmtId="164" fontId="9" fillId="0" borderId="0" xfId="0" applyNumberFormat="1" applyFont="1" applyAlignment="1">
      <alignment horizontal="center" wrapText="1"/>
    </xf>
    <xf numFmtId="165" fontId="9" fillId="0" borderId="0" xfId="0" applyNumberFormat="1" applyFont="1" applyAlignment="1">
      <alignment horizontal="center"/>
    </xf>
    <xf numFmtId="0" fontId="17" fillId="0" borderId="0" xfId="0" applyFont="1" applyFill="1" applyAlignment="1">
      <alignment horizontal="left"/>
    </xf>
    <xf numFmtId="2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 wrapText="1"/>
    </xf>
    <xf numFmtId="0" fontId="17" fillId="0" borderId="0" xfId="0" applyFont="1" applyFill="1"/>
    <xf numFmtId="1" fontId="4" fillId="0" borderId="0" xfId="0" applyNumberFormat="1" applyFont="1" applyFill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4" borderId="0" xfId="0" applyFont="1" applyFill="1" applyAlignment="1">
      <alignment horizontal="left"/>
    </xf>
    <xf numFmtId="0" fontId="17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0" fontId="4" fillId="0" borderId="0" xfId="0" quotePrefix="1" applyFont="1" applyFill="1" applyAlignment="1">
      <alignment horizontal="center" wrapText="1"/>
    </xf>
    <xf numFmtId="0" fontId="6" fillId="0" borderId="0" xfId="0" quotePrefix="1" applyFont="1" applyFill="1" applyAlignment="1">
      <alignment horizontal="center"/>
    </xf>
    <xf numFmtId="164" fontId="2" fillId="0" borderId="0" xfId="0" quotePrefix="1" applyNumberFormat="1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 wrapText="1"/>
    </xf>
    <xf numFmtId="164" fontId="9" fillId="0" borderId="0" xfId="0" applyNumberFormat="1" applyFont="1" applyFill="1" applyAlignment="1">
      <alignment horizontal="center" wrapText="1"/>
    </xf>
    <xf numFmtId="164" fontId="4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vertical="center" wrapText="1"/>
    </xf>
    <xf numFmtId="1" fontId="4" fillId="0" borderId="0" xfId="0" quotePrefix="1" applyNumberFormat="1" applyFont="1" applyFill="1" applyAlignment="1">
      <alignment horizontal="center" wrapText="1"/>
    </xf>
    <xf numFmtId="1" fontId="17" fillId="0" borderId="0" xfId="0" applyNumberFormat="1" applyFont="1" applyFill="1" applyAlignment="1">
      <alignment horizontal="center" vertical="center"/>
    </xf>
    <xf numFmtId="1" fontId="6" fillId="0" borderId="0" xfId="0" applyNumberFormat="1" applyFont="1" applyFill="1" applyAlignment="1">
      <alignment horizontal="center"/>
    </xf>
    <xf numFmtId="164" fontId="4" fillId="0" borderId="0" xfId="0" quotePrefix="1" applyNumberFormat="1" applyFont="1" applyFill="1" applyAlignment="1">
      <alignment horizontal="center"/>
    </xf>
    <xf numFmtId="0" fontId="17" fillId="0" borderId="0" xfId="0" applyFont="1" applyFill="1" applyAlignment="1">
      <alignment horizontal="center" vertical="center"/>
    </xf>
    <xf numFmtId="2" fontId="4" fillId="0" borderId="0" xfId="0" applyNumberFormat="1" applyFont="1" applyFill="1"/>
    <xf numFmtId="2" fontId="4" fillId="7" borderId="0" xfId="0" applyNumberFormat="1" applyFont="1" applyFill="1" applyAlignment="1">
      <alignment horizontal="center" wrapText="1"/>
    </xf>
    <xf numFmtId="2" fontId="17" fillId="0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 wrapText="1"/>
    </xf>
    <xf numFmtId="0" fontId="17" fillId="13" borderId="0" xfId="0" applyFont="1" applyFill="1" applyAlignment="1">
      <alignment horizontal="left"/>
    </xf>
    <xf numFmtId="164" fontId="4" fillId="13" borderId="0" xfId="0" applyNumberFormat="1" applyFont="1" applyFill="1" applyAlignment="1">
      <alignment horizontal="center"/>
    </xf>
    <xf numFmtId="164" fontId="9" fillId="13" borderId="0" xfId="0" applyNumberFormat="1" applyFont="1" applyFill="1" applyAlignment="1">
      <alignment horizontal="center"/>
    </xf>
    <xf numFmtId="1" fontId="17" fillId="13" borderId="0" xfId="0" applyNumberFormat="1" applyFont="1" applyFill="1" applyAlignment="1">
      <alignment horizontal="center" vertical="center"/>
    </xf>
    <xf numFmtId="2" fontId="4" fillId="13" borderId="0" xfId="0" applyNumberFormat="1" applyFont="1" applyFill="1" applyAlignment="1">
      <alignment horizontal="center"/>
    </xf>
    <xf numFmtId="2" fontId="4" fillId="13" borderId="0" xfId="0" applyNumberFormat="1" applyFont="1" applyFill="1" applyAlignment="1">
      <alignment horizontal="center" wrapText="1"/>
    </xf>
    <xf numFmtId="0" fontId="17" fillId="13" borderId="0" xfId="0" applyFont="1" applyFill="1"/>
    <xf numFmtId="0" fontId="4" fillId="13" borderId="0" xfId="0" quotePrefix="1" applyFont="1" applyFill="1" applyAlignment="1">
      <alignment horizontal="center" wrapText="1"/>
    </xf>
    <xf numFmtId="0" fontId="4" fillId="13" borderId="0" xfId="0" quotePrefix="1" applyFont="1" applyFill="1" applyAlignment="1">
      <alignment horizontal="center"/>
    </xf>
    <xf numFmtId="0" fontId="6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5" fillId="10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2" fontId="1" fillId="0" borderId="0" xfId="0" applyNumberFormat="1" applyFont="1" applyBorder="1" applyAlignment="1">
      <alignment horizont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2" fontId="2" fillId="0" borderId="3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/>
    </xf>
    <xf numFmtId="0" fontId="3" fillId="0" borderId="0" xfId="0" quotePrefix="1" applyFont="1" applyFill="1"/>
    <xf numFmtId="2" fontId="1" fillId="0" borderId="0" xfId="0" applyNumberFormat="1" applyFont="1" applyFill="1" applyAlignment="1">
      <alignment horizontal="right"/>
    </xf>
    <xf numFmtId="0" fontId="21" fillId="0" borderId="0" xfId="0" applyFont="1" applyFill="1"/>
    <xf numFmtId="2" fontId="22" fillId="0" borderId="0" xfId="0" applyNumberFormat="1" applyFont="1" applyFill="1"/>
    <xf numFmtId="0" fontId="1" fillId="0" borderId="0" xfId="0" quotePrefix="1" applyFont="1" applyFill="1" applyAlignment="1">
      <alignment horizontal="center" wrapText="1"/>
    </xf>
    <xf numFmtId="2" fontId="3" fillId="0" borderId="0" xfId="0" applyNumberFormat="1" applyFont="1" applyFill="1" applyAlignment="1">
      <alignment horizontal="center" wrapText="1"/>
    </xf>
    <xf numFmtId="2" fontId="1" fillId="14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 wrapText="1"/>
    </xf>
    <xf numFmtId="164" fontId="3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Fill="1" applyAlignment="1">
      <alignment horizontal="center" wrapText="1"/>
    </xf>
    <xf numFmtId="166" fontId="1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2" fontId="1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 wrapText="1"/>
    </xf>
    <xf numFmtId="0" fontId="1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51463555577156"/>
          <c:y val="7.5984429145488586E-2"/>
          <c:w val="0.80417689507588397"/>
          <c:h val="0.778151018783177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CB-44C7-AE0A-00CB75B639A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CB-44C7-AE0A-00CB75B639A2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CB-44C7-AE0A-00CB75B639A2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CB-44C7-AE0A-00CB75B639A2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9CB-44C7-AE0A-00CB75B639A2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9CB-44C7-AE0A-00CB75B639A2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9CB-44C7-AE0A-00CB75B639A2}"/>
              </c:ext>
            </c:extLst>
          </c:dPt>
          <c:dPt>
            <c:idx val="1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9CB-44C7-AE0A-00CB75B639A2}"/>
              </c:ext>
            </c:extLst>
          </c:dPt>
          <c:dPt>
            <c:idx val="1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D9CB-44C7-AE0A-00CB75B639A2}"/>
              </c:ext>
            </c:extLst>
          </c:dPt>
          <c:dPt>
            <c:idx val="1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9CB-44C7-AE0A-00CB75B639A2}"/>
              </c:ext>
            </c:extLst>
          </c:dPt>
          <c:dPt>
            <c:idx val="1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9CB-44C7-AE0A-00CB75B639A2}"/>
              </c:ext>
            </c:extLst>
          </c:dPt>
          <c:dPt>
            <c:idx val="1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9CB-44C7-AE0A-00CB75B639A2}"/>
              </c:ext>
            </c:extLst>
          </c:dPt>
          <c:dPt>
            <c:idx val="2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7A12-4174-98E6-2284E46A1F53}"/>
              </c:ext>
            </c:extLst>
          </c:dPt>
          <c:dPt>
            <c:idx val="2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9CB-44C7-AE0A-00CB75B639A2}"/>
              </c:ext>
            </c:extLst>
          </c:dPt>
          <c:dPt>
            <c:idx val="2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9CB-44C7-AE0A-00CB75B639A2}"/>
              </c:ext>
            </c:extLst>
          </c:dPt>
          <c:dPt>
            <c:idx val="2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9CB-44C7-AE0A-00CB75B639A2}"/>
              </c:ext>
            </c:extLst>
          </c:dPt>
          <c:dPt>
            <c:idx val="2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9CB-44C7-AE0A-00CB75B639A2}"/>
              </c:ext>
            </c:extLst>
          </c:dPt>
          <c:dPt>
            <c:idx val="2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9CB-44C7-AE0A-00CB75B639A2}"/>
              </c:ext>
            </c:extLst>
          </c:dPt>
          <c:dPt>
            <c:idx val="2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9CB-44C7-AE0A-00CB75B639A2}"/>
              </c:ext>
            </c:extLst>
          </c:dPt>
          <c:dPt>
            <c:idx val="2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9CB-44C7-AE0A-00CB75B639A2}"/>
              </c:ext>
            </c:extLst>
          </c:dPt>
          <c:dPt>
            <c:idx val="2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9CB-44C7-AE0A-00CB75B639A2}"/>
              </c:ext>
            </c:extLst>
          </c:dPt>
          <c:dPt>
            <c:idx val="2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9CB-44C7-AE0A-00CB75B639A2}"/>
              </c:ext>
            </c:extLst>
          </c:dPt>
          <c:dPt>
            <c:idx val="3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CB-44C7-AE0A-00CB75B639A2}"/>
              </c:ext>
            </c:extLst>
          </c:dPt>
          <c:dPt>
            <c:idx val="3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9CB-44C7-AE0A-00CB75B639A2}"/>
              </c:ext>
            </c:extLst>
          </c:dPt>
          <c:dPt>
            <c:idx val="3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9CB-44C7-AE0A-00CB75B639A2}"/>
              </c:ext>
            </c:extLst>
          </c:dPt>
          <c:dPt>
            <c:idx val="3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9CB-44C7-AE0A-00CB75B639A2}"/>
              </c:ext>
            </c:extLst>
          </c:dPt>
          <c:dPt>
            <c:idx val="3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9CB-44C7-AE0A-00CB75B639A2}"/>
              </c:ext>
            </c:extLst>
          </c:dPt>
          <c:dPt>
            <c:idx val="3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9CB-44C7-AE0A-00CB75B639A2}"/>
              </c:ext>
            </c:extLst>
          </c:dPt>
          <c:dPt>
            <c:idx val="3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9CB-44C7-AE0A-00CB75B639A2}"/>
              </c:ext>
            </c:extLst>
          </c:dPt>
          <c:dPt>
            <c:idx val="3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9CB-44C7-AE0A-00CB75B639A2}"/>
              </c:ext>
            </c:extLst>
          </c:dPt>
          <c:dPt>
            <c:idx val="3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9CB-44C7-AE0A-00CB75B639A2}"/>
              </c:ext>
            </c:extLst>
          </c:dPt>
          <c:dPt>
            <c:idx val="3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9CB-44C7-AE0A-00CB75B639A2}"/>
              </c:ext>
            </c:extLst>
          </c:dPt>
          <c:dPt>
            <c:idx val="4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9CB-44C7-AE0A-00CB75B639A2}"/>
              </c:ext>
            </c:extLst>
          </c:dPt>
          <c:dPt>
            <c:idx val="4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9CB-44C7-AE0A-00CB75B639A2}"/>
              </c:ext>
            </c:extLst>
          </c:dPt>
          <c:dPt>
            <c:idx val="4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9CB-44C7-AE0A-00CB75B639A2}"/>
              </c:ext>
            </c:extLst>
          </c:dPt>
          <c:dPt>
            <c:idx val="4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9CB-44C7-AE0A-00CB75B639A2}"/>
              </c:ext>
            </c:extLst>
          </c:dPt>
          <c:dPt>
            <c:idx val="4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D9CB-44C7-AE0A-00CB75B639A2}"/>
              </c:ext>
            </c:extLst>
          </c:dPt>
          <c:dPt>
            <c:idx val="4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9CB-44C7-AE0A-00CB75B639A2}"/>
              </c:ext>
            </c:extLst>
          </c:dPt>
          <c:dPt>
            <c:idx val="4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D9CB-44C7-AE0A-00CB75B639A2}"/>
              </c:ext>
            </c:extLst>
          </c:dPt>
          <c:dPt>
            <c:idx val="4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9CB-44C7-AE0A-00CB75B639A2}"/>
              </c:ext>
            </c:extLst>
          </c:dPt>
          <c:dPt>
            <c:idx val="49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D9CB-44C7-AE0A-00CB75B639A2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D9CB-44C7-AE0A-00CB75B639A2}"/>
              </c:ext>
            </c:extLst>
          </c:dPt>
          <c:dPt>
            <c:idx val="5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9CB-44C7-AE0A-00CB75B639A2}"/>
              </c:ext>
            </c:extLst>
          </c:dPt>
          <c:dPt>
            <c:idx val="5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D9CB-44C7-AE0A-00CB75B639A2}"/>
              </c:ext>
            </c:extLst>
          </c:dPt>
          <c:dPt>
            <c:idx val="5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D9CB-44C7-AE0A-00CB75B639A2}"/>
              </c:ext>
            </c:extLst>
          </c:dPt>
          <c:dPt>
            <c:idx val="5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608A-41E2-950A-CAA1CF1A874F}"/>
              </c:ext>
            </c:extLst>
          </c:dPt>
          <c:dPt>
            <c:idx val="5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A-7A12-4174-98E6-2284E46A1F53}"/>
              </c:ext>
            </c:extLst>
          </c:dPt>
          <c:dPt>
            <c:idx val="5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7A12-4174-98E6-2284E46A1F53}"/>
              </c:ext>
            </c:extLst>
          </c:dPt>
          <c:dPt>
            <c:idx val="5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608A-41E2-950A-CAA1CF1A874F}"/>
              </c:ext>
            </c:extLst>
          </c:dPt>
          <c:dPt>
            <c:idx val="6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608A-41E2-950A-CAA1CF1A874F}"/>
              </c:ext>
            </c:extLst>
          </c:dPt>
          <c:dPt>
            <c:idx val="6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608A-41E2-950A-CAA1CF1A874F}"/>
              </c:ext>
            </c:extLst>
          </c:dPt>
          <c:dPt>
            <c:idx val="6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7A12-4174-98E6-2284E46A1F53}"/>
              </c:ext>
            </c:extLst>
          </c:dPt>
          <c:dPt>
            <c:idx val="6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608A-41E2-950A-CAA1CF1A874F}"/>
              </c:ext>
            </c:extLst>
          </c:dPt>
          <c:dPt>
            <c:idx val="6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7A12-4174-98E6-2284E46A1F53}"/>
              </c:ext>
            </c:extLst>
          </c:dPt>
          <c:dPt>
            <c:idx val="7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7A12-4174-98E6-2284E46A1F53}"/>
              </c:ext>
            </c:extLst>
          </c:dPt>
          <c:dPt>
            <c:idx val="7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7A12-4174-98E6-2284E46A1F53}"/>
              </c:ext>
            </c:extLst>
          </c:dPt>
          <c:dPt>
            <c:idx val="7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7A12-4174-98E6-2284E46A1F53}"/>
              </c:ext>
            </c:extLst>
          </c:dPt>
          <c:dPt>
            <c:idx val="7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7A12-4174-98E6-2284E46A1F53}"/>
              </c:ext>
            </c:extLst>
          </c:dPt>
          <c:dPt>
            <c:idx val="7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7A12-4174-98E6-2284E46A1F53}"/>
              </c:ext>
            </c:extLst>
          </c:dPt>
          <c:dPt>
            <c:idx val="7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7A12-4174-98E6-2284E46A1F53}"/>
              </c:ext>
            </c:extLst>
          </c:dPt>
          <c:dPt>
            <c:idx val="7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7A12-4174-98E6-2284E46A1F53}"/>
              </c:ext>
            </c:extLst>
          </c:dPt>
          <c:dPt>
            <c:idx val="7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C-7A12-4174-98E6-2284E46A1F53}"/>
              </c:ext>
            </c:extLst>
          </c:dPt>
          <c:dPt>
            <c:idx val="7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7A12-4174-98E6-2284E46A1F53}"/>
              </c:ext>
            </c:extLst>
          </c:dPt>
          <c:val>
            <c:numRef>
              <c:f>graphs!$V$5:$V$83</c:f>
              <c:numCache>
                <c:formatCode>0.00</c:formatCode>
                <c:ptCount val="79"/>
                <c:pt idx="0">
                  <c:v>-0.70398123411741709</c:v>
                </c:pt>
                <c:pt idx="1">
                  <c:v>-0.3973154362416117</c:v>
                </c:pt>
                <c:pt idx="2">
                  <c:v>-0.62899262899262864</c:v>
                </c:pt>
                <c:pt idx="3">
                  <c:v>-4.3181522668947823</c:v>
                </c:pt>
                <c:pt idx="4">
                  <c:v>-0.84644522144522139</c:v>
                </c:pt>
                <c:pt idx="5">
                  <c:v>-1.7810760667903527</c:v>
                </c:pt>
                <c:pt idx="6">
                  <c:v>-0.32841920887461684</c:v>
                </c:pt>
                <c:pt idx="8">
                  <c:v>-0.17195306146160119</c:v>
                </c:pt>
                <c:pt idx="9">
                  <c:v>-0.42005676442762413</c:v>
                </c:pt>
                <c:pt idx="10">
                  <c:v>-0.30008826125330962</c:v>
                </c:pt>
                <c:pt idx="11">
                  <c:v>-4.771978266678544</c:v>
                </c:pt>
                <c:pt idx="12">
                  <c:v>-2.2145545183519872</c:v>
                </c:pt>
                <c:pt idx="13">
                  <c:v>-1.3257485029940119</c:v>
                </c:pt>
                <c:pt idx="15">
                  <c:v>-0.44</c:v>
                </c:pt>
                <c:pt idx="16">
                  <c:v>7.0000000000000007E-2</c:v>
                </c:pt>
                <c:pt idx="17">
                  <c:v>-0.26</c:v>
                </c:pt>
                <c:pt idx="18">
                  <c:v>-0.61</c:v>
                </c:pt>
                <c:pt idx="19">
                  <c:v>-0.67795722848990914</c:v>
                </c:pt>
                <c:pt idx="20">
                  <c:v>-6.6052029776113907E-2</c:v>
                </c:pt>
                <c:pt idx="21">
                  <c:v>-0.34974349743497468</c:v>
                </c:pt>
                <c:pt idx="22">
                  <c:v>-0.17396707051879468</c:v>
                </c:pt>
                <c:pt idx="23">
                  <c:v>-0.50816696914700543</c:v>
                </c:pt>
                <c:pt idx="24">
                  <c:v>-0.25643839990420908</c:v>
                </c:pt>
                <c:pt idx="25">
                  <c:v>-4.1747572815533953</c:v>
                </c:pt>
                <c:pt idx="26">
                  <c:v>-0.98841698841698811</c:v>
                </c:pt>
                <c:pt idx="27">
                  <c:v>-0.45206668462482402</c:v>
                </c:pt>
                <c:pt idx="28">
                  <c:v>-0.71166023166023196</c:v>
                </c:pt>
                <c:pt idx="29">
                  <c:v>-0.54912054912054964</c:v>
                </c:pt>
                <c:pt idx="30">
                  <c:v>-0.29203229203229197</c:v>
                </c:pt>
                <c:pt idx="31">
                  <c:v>-2.2095808383233537</c:v>
                </c:pt>
                <c:pt idx="32">
                  <c:v>-1.9886227544910182</c:v>
                </c:pt>
                <c:pt idx="33">
                  <c:v>-0.98013245033112584</c:v>
                </c:pt>
                <c:pt idx="34">
                  <c:v>-0.23668639053254473</c:v>
                </c:pt>
                <c:pt idx="35">
                  <c:v>-0.89480412061057224</c:v>
                </c:pt>
                <c:pt idx="36">
                  <c:v>-0.92463092463092422</c:v>
                </c:pt>
                <c:pt idx="37">
                  <c:v>-9.7902097902097557E-2</c:v>
                </c:pt>
                <c:pt idx="38">
                  <c:v>0.23733841915660095</c:v>
                </c:pt>
                <c:pt idx="39">
                  <c:v>-0.8729139922978173</c:v>
                </c:pt>
                <c:pt idx="40">
                  <c:v>-1.5789941617520671</c:v>
                </c:pt>
                <c:pt idx="41">
                  <c:v>0.30075187969924821</c:v>
                </c:pt>
                <c:pt idx="42">
                  <c:v>0.24656965889221466</c:v>
                </c:pt>
                <c:pt idx="44">
                  <c:v>-0.33287517181057114</c:v>
                </c:pt>
                <c:pt idx="45">
                  <c:v>0.28613390645863518</c:v>
                </c:pt>
                <c:pt idx="46">
                  <c:v>2.2869003690036904</c:v>
                </c:pt>
                <c:pt idx="47">
                  <c:v>-0.27210884353741499</c:v>
                </c:pt>
                <c:pt idx="48">
                  <c:v>-1.2948979591836731</c:v>
                </c:pt>
                <c:pt idx="49">
                  <c:v>0.29652509652509657</c:v>
                </c:pt>
                <c:pt idx="50">
                  <c:v>-0.12355212355212353</c:v>
                </c:pt>
                <c:pt idx="51">
                  <c:v>-1.2007504690431523</c:v>
                </c:pt>
                <c:pt idx="52">
                  <c:v>0.26262626262626304</c:v>
                </c:pt>
                <c:pt idx="54">
                  <c:v>-0.108843537414966</c:v>
                </c:pt>
                <c:pt idx="55">
                  <c:v>-0.17436137801734244</c:v>
                </c:pt>
                <c:pt idx="56">
                  <c:v>-0.27133015368309493</c:v>
                </c:pt>
                <c:pt idx="57">
                  <c:v>0</c:v>
                </c:pt>
                <c:pt idx="58">
                  <c:v>-0.12355212355212353</c:v>
                </c:pt>
                <c:pt idx="59">
                  <c:v>-0.36415362731152212</c:v>
                </c:pt>
                <c:pt idx="60">
                  <c:v>0</c:v>
                </c:pt>
                <c:pt idx="61">
                  <c:v>0</c:v>
                </c:pt>
                <c:pt idx="62">
                  <c:v>-1.3257485029940119</c:v>
                </c:pt>
                <c:pt idx="65">
                  <c:v>0.15606584027636658</c:v>
                </c:pt>
                <c:pt idx="66">
                  <c:v>-0.18207681365576106</c:v>
                </c:pt>
                <c:pt idx="68">
                  <c:v>-0.3293492695883134</c:v>
                </c:pt>
                <c:pt idx="69">
                  <c:v>-0.50762089257648391</c:v>
                </c:pt>
                <c:pt idx="70">
                  <c:v>-0.85917200762168722</c:v>
                </c:pt>
                <c:pt idx="71">
                  <c:v>-0.58994413407821222</c:v>
                </c:pt>
                <c:pt idx="72">
                  <c:v>0.24581005586592178</c:v>
                </c:pt>
                <c:pt idx="73">
                  <c:v>0.15524845633637155</c:v>
                </c:pt>
                <c:pt idx="74">
                  <c:v>0.38060911876013681</c:v>
                </c:pt>
                <c:pt idx="75">
                  <c:v>0.122905027932961</c:v>
                </c:pt>
                <c:pt idx="76">
                  <c:v>-8.1936685288640676E-2</c:v>
                </c:pt>
                <c:pt idx="77">
                  <c:v>-0.7962247962247968</c:v>
                </c:pt>
                <c:pt idx="78">
                  <c:v>-0.87859287859287938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B-44C7-AE0A-00CB75B63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67"/>
        <c:axId val="722877744"/>
        <c:axId val="722880696"/>
      </c:barChart>
      <c:catAx>
        <c:axId val="72287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Study/measure</a:t>
                </a:r>
              </a:p>
            </c:rich>
          </c:tx>
          <c:layout>
            <c:manualLayout>
              <c:xMode val="edge"/>
              <c:yMode val="edge"/>
              <c:x val="0.49800871940620872"/>
              <c:y val="0.9120242583328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80696"/>
        <c:crosses val="autoZero"/>
        <c:auto val="1"/>
        <c:lblAlgn val="ctr"/>
        <c:lblOffset val="100"/>
        <c:noMultiLvlLbl val="0"/>
      </c:catAx>
      <c:valAx>
        <c:axId val="722880696"/>
        <c:scaling>
          <c:orientation val="minMax"/>
          <c:max val="2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</a:rPr>
                  <a:t>Glass Delta effect size</a:t>
                </a:r>
              </a:p>
            </c:rich>
          </c:tx>
          <c:layout>
            <c:manualLayout>
              <c:xMode val="edge"/>
              <c:yMode val="edge"/>
              <c:x val="2.6044117529941867E-2"/>
              <c:y val="0.26275721772131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7774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0760005437091"/>
          <c:y val="3.3325356558550186E-2"/>
          <c:w val="0.85630278076641786"/>
          <c:h val="0.79318156162324238"/>
        </c:manualLayout>
      </c:layout>
      <c:barChart>
        <c:barDir val="col"/>
        <c:grouping val="clustered"/>
        <c:varyColors val="0"/>
        <c:ser>
          <c:idx val="2"/>
          <c:order val="0"/>
          <c:tx>
            <c:v>Visual memory</c:v>
          </c:tx>
          <c:spPr>
            <a:solidFill>
              <a:schemeClr val="accent4">
                <a:lumMod val="50000"/>
              </a:schemeClr>
            </a:solidFill>
            <a:ln w="15875">
              <a:noFill/>
            </a:ln>
            <a:effectLst/>
          </c:spPr>
          <c:invertIfNegative val="0"/>
          <c:val>
            <c:numRef>
              <c:f>graphs!$X$92:$X$147</c:f>
              <c:numCache>
                <c:formatCode>0.00</c:formatCode>
                <c:ptCount val="56"/>
                <c:pt idx="0">
                  <c:v>-0.21500929246394251</c:v>
                </c:pt>
                <c:pt idx="1">
                  <c:v>-0.3850897140698179</c:v>
                </c:pt>
                <c:pt idx="2">
                  <c:v>-0.66587395957193829</c:v>
                </c:pt>
                <c:pt idx="3">
                  <c:v>-0.34664159754633211</c:v>
                </c:pt>
                <c:pt idx="4">
                  <c:v>-0.42871098292785031</c:v>
                </c:pt>
                <c:pt idx="5">
                  <c:v>-0.62426336110546643</c:v>
                </c:pt>
                <c:pt idx="6">
                  <c:v>-2.9829341317365268</c:v>
                </c:pt>
                <c:pt idx="7">
                  <c:v>-2.4503311258278146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4-44D5-B557-F273603D420A}"/>
            </c:ext>
          </c:extLst>
        </c:ser>
        <c:ser>
          <c:idx val="3"/>
          <c:order val="1"/>
          <c:tx>
            <c:v>Visual RT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graphs!$Y$92:$Y$147</c:f>
              <c:numCache>
                <c:formatCode>0.0</c:formatCode>
                <c:ptCount val="56"/>
                <c:pt idx="8" formatCode="0.00">
                  <c:v>-0.82840236686390523</c:v>
                </c:pt>
                <c:pt idx="9" formatCode="0.00">
                  <c:v>-0.69530201342281872</c:v>
                </c:pt>
                <c:pt idx="10" formatCode="0.00">
                  <c:v>-0.63922160495809377</c:v>
                </c:pt>
                <c:pt idx="11" formatCode="0.00">
                  <c:v>-0.82104925555404795</c:v>
                </c:pt>
                <c:pt idx="12" formatCode="0.00">
                  <c:v>-0.42438956566380392</c:v>
                </c:pt>
                <c:pt idx="13" formatCode="0.00">
                  <c:v>-1.4888289365276812</c:v>
                </c:pt>
                <c:pt idx="14" formatCode="0.00">
                  <c:v>-1.306932993393801</c:v>
                </c:pt>
                <c:pt idx="15" formatCode="0.00">
                  <c:v>-1.3476821192052981</c:v>
                </c:pt>
                <c:pt idx="16" formatCode="0.00">
                  <c:v>-0.89462261876054994</c:v>
                </c:pt>
                <c:pt idx="17" formatCode="0.00">
                  <c:v>-1.4382078098892259</c:v>
                </c:pt>
                <c:pt idx="18" formatCode="0.00">
                  <c:v>-1.0320713768989631</c:v>
                </c:pt>
                <c:pt idx="19" formatCode="0.00">
                  <c:v>0.7686038543208884</c:v>
                </c:pt>
                <c:pt idx="20" formatCode="0.00">
                  <c:v>-2.9667896678966792</c:v>
                </c:pt>
                <c:pt idx="21" formatCode="0.00">
                  <c:v>-0.30237725994105574</c:v>
                </c:pt>
                <c:pt idx="22" formatCode="0.00">
                  <c:v>-0.51850913849141023</c:v>
                </c:pt>
                <c:pt idx="23" formatCode="0.00">
                  <c:v>-0.39835789598038929</c:v>
                </c:pt>
                <c:pt idx="24" formatCode="0.00">
                  <c:v>-2.8844375963020044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4-44D5-B557-F273603D420A}"/>
            </c:ext>
          </c:extLst>
        </c:ser>
        <c:ser>
          <c:idx val="0"/>
          <c:order val="2"/>
          <c:tx>
            <c:v>Verbal memory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graphs!$Z$92:$Z$147</c:f>
              <c:numCache>
                <c:formatCode>General</c:formatCode>
                <c:ptCount val="56"/>
                <c:pt idx="26" formatCode="0.00">
                  <c:v>-0.02</c:v>
                </c:pt>
                <c:pt idx="27" formatCode="0.00">
                  <c:v>-0.25051797663330683</c:v>
                </c:pt>
                <c:pt idx="28" formatCode="0.00">
                  <c:v>0.18286053177819511</c:v>
                </c:pt>
                <c:pt idx="29" formatCode="0.00">
                  <c:v>-0.35759897828863346</c:v>
                </c:pt>
                <c:pt idx="30" formatCode="0.00">
                  <c:v>-8.4694494857834243E-2</c:v>
                </c:pt>
                <c:pt idx="31" formatCode="0.00">
                  <c:v>-0.42360728075013804</c:v>
                </c:pt>
                <c:pt idx="32" formatCode="0.00">
                  <c:v>-7.8549694443734247E-2</c:v>
                </c:pt>
                <c:pt idx="33" formatCode="0.00">
                  <c:v>0.23217848721204426</c:v>
                </c:pt>
                <c:pt idx="34" formatCode="0.00">
                  <c:v>0.35905759987392649</c:v>
                </c:pt>
                <c:pt idx="35" formatCode="0.00">
                  <c:v>-2.3200598802395214</c:v>
                </c:pt>
                <c:pt idx="36" formatCode="0.00">
                  <c:v>-0.17654476670870139</c:v>
                </c:pt>
                <c:pt idx="37" formatCode="0.00">
                  <c:v>-0.74125874125874114</c:v>
                </c:pt>
                <c:pt idx="38" formatCode="0.00">
                  <c:v>-1.0109382430871658</c:v>
                </c:pt>
                <c:pt idx="39" formatCode="0.00">
                  <c:v>-1.0073369026373191</c:v>
                </c:pt>
                <c:pt idx="40" formatCode="0.00">
                  <c:v>-0.45383517902031389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4-44D5-B557-F273603D420A}"/>
            </c:ext>
          </c:extLst>
        </c:ser>
        <c:ser>
          <c:idx val="1"/>
          <c:order val="3"/>
          <c:tx>
            <c:v>Verbal RT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graphs!$AA$92:$AA$147</c:f>
              <c:numCache>
                <c:formatCode>0.00</c:formatCode>
                <c:ptCount val="56"/>
                <c:pt idx="41" formatCode="0.0">
                  <c:v>-0.50499041575781611</c:v>
                </c:pt>
                <c:pt idx="42" formatCode="0.0">
                  <c:v>-0.52040816326530637</c:v>
                </c:pt>
                <c:pt idx="43" formatCode="0.0">
                  <c:v>-0.32375893647569948</c:v>
                </c:pt>
                <c:pt idx="44" formatCode="0.0">
                  <c:v>-0.43999484381042409</c:v>
                </c:pt>
                <c:pt idx="45" formatCode="0.0">
                  <c:v>-0.11675875318331434</c:v>
                </c:pt>
                <c:pt idx="46" formatCode="0.0">
                  <c:v>2.5459886689515231E-2</c:v>
                </c:pt>
                <c:pt idx="47" formatCode="0.0">
                  <c:v>0.26262626262626304</c:v>
                </c:pt>
                <c:pt idx="48" formatCode="0.0">
                  <c:v>0.26262626262626304</c:v>
                </c:pt>
                <c:pt idx="49" formatCode="0.0">
                  <c:v>-0.17456039019381336</c:v>
                </c:pt>
                <c:pt idx="50" formatCode="0.0">
                  <c:v>-0.3499820290225773</c:v>
                </c:pt>
                <c:pt idx="51" formatCode="0.0">
                  <c:v>-1.1474494570217584</c:v>
                </c:pt>
                <c:pt idx="52" formatCode="0.0">
                  <c:v>-0.70979569371852336</c:v>
                </c:pt>
                <c:pt idx="53" formatCode="0.0">
                  <c:v>-1.8222745635873052</c:v>
                </c:pt>
                <c:pt idx="54" formatCode="0.0">
                  <c:v>5.7016267985410429E-2</c:v>
                </c:pt>
                <c:pt idx="55" formatCode="0.0">
                  <c:v>-0.17925576846129859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4-44D5-B557-F273603D4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57"/>
        <c:axId val="765033416"/>
        <c:axId val="765032760"/>
      </c:barChart>
      <c:catAx>
        <c:axId val="765033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Study/measures</a:t>
                </a:r>
              </a:p>
            </c:rich>
          </c:tx>
          <c:layout>
            <c:manualLayout>
              <c:xMode val="edge"/>
              <c:yMode val="edge"/>
              <c:x val="0.44012757337480046"/>
              <c:y val="0.9062177346303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32760"/>
        <c:crosses val="autoZero"/>
        <c:auto val="1"/>
        <c:lblAlgn val="ctr"/>
        <c:lblOffset val="100"/>
        <c:noMultiLvlLbl val="0"/>
      </c:catAx>
      <c:valAx>
        <c:axId val="7650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Glass Delta Effect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3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1291422</xdr:colOff>
      <xdr:row>2</xdr:row>
      <xdr:rowOff>189082</xdr:rowOff>
    </xdr:from>
    <xdr:to>
      <xdr:col>33</xdr:col>
      <xdr:colOff>772583</xdr:colOff>
      <xdr:row>35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56929-E945-011B-96E3-7695CA5CE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1252512</xdr:colOff>
      <xdr:row>38</xdr:row>
      <xdr:rowOff>15875</xdr:rowOff>
    </xdr:from>
    <xdr:to>
      <xdr:col>33</xdr:col>
      <xdr:colOff>994522</xdr:colOff>
      <xdr:row>65</xdr:row>
      <xdr:rowOff>154081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14B281E-3C26-7F23-2AC4-E65B84C6B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27</xdr:col>
      <xdr:colOff>359834</xdr:colOff>
      <xdr:row>144</xdr:row>
      <xdr:rowOff>169333</xdr:rowOff>
    </xdr:from>
    <xdr:ext cx="3864263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A9D0951-2B85-9115-FE3D-4685FCC307E5}"/>
            </a:ext>
          </a:extLst>
        </xdr:cNvPr>
        <xdr:cNvSpPr txBox="1"/>
      </xdr:nvSpPr>
      <xdr:spPr>
        <a:xfrm>
          <a:off x="19854334" y="23897166"/>
          <a:ext cx="38642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COntrastn between </a:t>
          </a:r>
          <a:r>
            <a:rPr lang="en-GB" sz="1100" baseline="0"/>
            <a:t> RT, memory, inhibition, sustained attention</a:t>
          </a:r>
          <a:endParaRPr lang="en-GB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0.30112</cdr:x>
      <cdr:y>0.02394</cdr:y>
    </cdr:from>
    <cdr:to>
      <cdr:x>0.51662</cdr:x>
      <cdr:y>0.08113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CEF9AF12-A13A-D37D-0851-BF05FB874EFA}"/>
            </a:ext>
          </a:extLst>
        </cdr:cNvPr>
        <cdr:cNvSpPr txBox="1"/>
      </cdr:nvSpPr>
      <cdr:spPr>
        <a:xfrm xmlns:a="http://schemas.openxmlformats.org/drawingml/2006/main">
          <a:off x="2934988" y="156633"/>
          <a:ext cx="2100511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800" b="1">
              <a:solidFill>
                <a:sysClr val="windowText" lastClr="000000"/>
              </a:solidFill>
            </a:rPr>
            <a:t>Executive</a:t>
          </a:r>
          <a:r>
            <a:rPr lang="en-GB" sz="1800" b="1" baseline="0">
              <a:solidFill>
                <a:sysClr val="windowText" lastClr="000000"/>
              </a:solidFill>
            </a:rPr>
            <a:t> functions </a:t>
          </a:r>
          <a:endParaRPr lang="en-GB" sz="1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0.76162</cdr:x>
      <cdr:y>0.03068</cdr:y>
    </cdr:from>
    <cdr:to>
      <cdr:x>0.87911</cdr:x>
      <cdr:y>0.08787</cdr:y>
    </cdr:to>
    <cdr:sp macro="" textlink="">
      <cdr:nvSpPr>
        <cdr:cNvPr id="4" name="TextBox 4">
          <a:extLst xmlns:a="http://schemas.openxmlformats.org/drawingml/2006/main">
            <a:ext uri="{FF2B5EF4-FFF2-40B4-BE49-F238E27FC236}">
              <a16:creationId xmlns:a16="http://schemas.microsoft.com/office/drawing/2014/main" id="{C63D1B96-2490-47B4-A6A3-5162DF4999B2}"/>
            </a:ext>
          </a:extLst>
        </cdr:cNvPr>
        <cdr:cNvSpPr txBox="1"/>
      </cdr:nvSpPr>
      <cdr:spPr>
        <a:xfrm xmlns:a="http://schemas.openxmlformats.org/drawingml/2006/main">
          <a:off x="7423518" y="200715"/>
          <a:ext cx="1145185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800" b="1">
              <a:solidFill>
                <a:srgbClr val="00B050"/>
              </a:solidFill>
            </a:rPr>
            <a:t>Language</a:t>
          </a:r>
          <a:r>
            <a:rPr lang="en-GB" sz="1800" b="1" baseline="0">
              <a:solidFill>
                <a:srgbClr val="00B050"/>
              </a:solidFill>
            </a:rPr>
            <a:t> </a:t>
          </a:r>
          <a:endParaRPr lang="en-GB" sz="18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0.16374</cdr:x>
      <cdr:y>0.13744</cdr:y>
    </cdr:from>
    <cdr:to>
      <cdr:x>0.25605</cdr:x>
      <cdr:y>0.20116</cdr:y>
    </cdr:to>
    <cdr:sp macro="" textlink="">
      <cdr:nvSpPr>
        <cdr:cNvPr id="5" name="TextBox 5">
          <a:extLst xmlns:a="http://schemas.openxmlformats.org/drawingml/2006/main">
            <a:ext uri="{FF2B5EF4-FFF2-40B4-BE49-F238E27FC236}">
              <a16:creationId xmlns:a16="http://schemas.microsoft.com/office/drawing/2014/main" id="{3117C9D0-F16B-7C53-F01D-49F682B81D7F}"/>
            </a:ext>
          </a:extLst>
        </cdr:cNvPr>
        <cdr:cNvSpPr txBox="1"/>
      </cdr:nvSpPr>
      <cdr:spPr>
        <a:xfrm xmlns:a="http://schemas.openxmlformats.org/drawingml/2006/main">
          <a:off x="1392583" y="942069"/>
          <a:ext cx="785100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 b="1">
              <a:solidFill>
                <a:srgbClr val="002060"/>
              </a:solidFill>
            </a:rPr>
            <a:t>Sustained</a:t>
          </a:r>
          <a:r>
            <a:rPr lang="en-GB" sz="1100" b="1" baseline="0">
              <a:solidFill>
                <a:srgbClr val="002060"/>
              </a:solidFill>
            </a:rPr>
            <a:t> attention</a:t>
          </a:r>
          <a:endParaRPr lang="en-GB" sz="1100" b="1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0.23945</cdr:x>
      <cdr:y>0.14808</cdr:y>
    </cdr:from>
    <cdr:to>
      <cdr:x>0.33386</cdr:x>
      <cdr:y>0.18668</cdr:y>
    </cdr:to>
    <cdr:sp macro="" textlink="">
      <cdr:nvSpPr>
        <cdr:cNvPr id="6" name="TextBox 6">
          <a:extLst xmlns:a="http://schemas.openxmlformats.org/drawingml/2006/main">
            <a:ext uri="{FF2B5EF4-FFF2-40B4-BE49-F238E27FC236}">
              <a16:creationId xmlns:a16="http://schemas.microsoft.com/office/drawing/2014/main" id="{9B7BB75F-874E-492C-8CD2-53CA358091FC}"/>
            </a:ext>
          </a:extLst>
        </cdr:cNvPr>
        <cdr:cNvSpPr txBox="1"/>
      </cdr:nvSpPr>
      <cdr:spPr>
        <a:xfrm xmlns:a="http://schemas.openxmlformats.org/drawingml/2006/main">
          <a:off x="2036484" y="1015000"/>
          <a:ext cx="80293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>
              <a:solidFill>
                <a:schemeClr val="accent5">
                  <a:lumMod val="75000"/>
                </a:schemeClr>
              </a:solidFill>
            </a:rPr>
            <a:t>Reasoning</a:t>
          </a:r>
          <a:r>
            <a:rPr lang="en-GB" sz="1100" b="1" baseline="0">
              <a:solidFill>
                <a:schemeClr val="accent5">
                  <a:lumMod val="75000"/>
                </a:schemeClr>
              </a:solidFill>
            </a:rPr>
            <a:t> </a:t>
          </a:r>
          <a:endParaRPr lang="en-GB" sz="1100" b="1">
            <a:solidFill>
              <a:schemeClr val="accent5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0.44045</cdr:x>
      <cdr:y>0.15688</cdr:y>
    </cdr:from>
    <cdr:to>
      <cdr:x>0.52118</cdr:x>
      <cdr:y>0.19732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187B2E51-17B4-42D3-B04C-F6FC57D8366C}"/>
            </a:ext>
          </a:extLst>
        </cdr:cNvPr>
        <cdr:cNvSpPr txBox="1"/>
      </cdr:nvSpPr>
      <cdr:spPr>
        <a:xfrm xmlns:a="http://schemas.openxmlformats.org/drawingml/2006/main">
          <a:off x="4293060" y="1026308"/>
          <a:ext cx="786848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baseline="0">
              <a:solidFill>
                <a:srgbClr val="7030A0"/>
              </a:solidFill>
            </a:rPr>
            <a:t>Flexibility  </a:t>
          </a:r>
          <a:endParaRPr lang="en-GB" sz="1100" b="1">
            <a:solidFill>
              <a:srgbClr val="7030A0"/>
            </a:solidFill>
          </a:endParaRPr>
        </a:p>
      </cdr:txBody>
    </cdr:sp>
  </cdr:relSizeAnchor>
  <cdr:relSizeAnchor xmlns:cdr="http://schemas.openxmlformats.org/drawingml/2006/chartDrawing">
    <cdr:from>
      <cdr:x>0.61336</cdr:x>
      <cdr:y>0.46265</cdr:y>
    </cdr:from>
    <cdr:to>
      <cdr:x>0.70875</cdr:x>
      <cdr:y>0.52637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C182DF2-226E-44AB-80BE-B5707C3A26AA}"/>
            </a:ext>
          </a:extLst>
        </cdr:cNvPr>
        <cdr:cNvSpPr txBox="1"/>
      </cdr:nvSpPr>
      <cdr:spPr>
        <a:xfrm xmlns:a="http://schemas.openxmlformats.org/drawingml/2006/main">
          <a:off x="5216532" y="3171190"/>
          <a:ext cx="811256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 b="1" baseline="0">
              <a:solidFill>
                <a:schemeClr val="accent6">
                  <a:lumMod val="50000"/>
                </a:schemeClr>
              </a:solidFill>
            </a:rPr>
            <a:t>Inhibitory </a:t>
          </a:r>
        </a:p>
        <a:p xmlns:a="http://schemas.openxmlformats.org/drawingml/2006/main">
          <a:pPr algn="ctr"/>
          <a:r>
            <a:rPr lang="en-GB" sz="1100" b="1" baseline="0">
              <a:solidFill>
                <a:schemeClr val="accent6">
                  <a:lumMod val="50000"/>
                </a:schemeClr>
              </a:solidFill>
            </a:rPr>
            <a:t>control  </a:t>
          </a:r>
          <a:endParaRPr lang="en-GB" sz="1100" b="1">
            <a:solidFill>
              <a:schemeClr val="accent6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0.70004</cdr:x>
      <cdr:y>0.15459</cdr:y>
    </cdr:from>
    <cdr:to>
      <cdr:x>0.78538</cdr:x>
      <cdr:y>0.21831</cdr:y>
    </cdr:to>
    <cdr:sp macro="" textlink="">
      <cdr:nvSpPr>
        <cdr:cNvPr id="9" name="TextBox 9">
          <a:extLst xmlns:a="http://schemas.openxmlformats.org/drawingml/2006/main">
            <a:ext uri="{FF2B5EF4-FFF2-40B4-BE49-F238E27FC236}">
              <a16:creationId xmlns:a16="http://schemas.microsoft.com/office/drawing/2014/main" id="{40D22B60-2494-4659-A825-3B2690F154A3}"/>
            </a:ext>
          </a:extLst>
        </cdr:cNvPr>
        <cdr:cNvSpPr txBox="1"/>
      </cdr:nvSpPr>
      <cdr:spPr>
        <a:xfrm xmlns:a="http://schemas.openxmlformats.org/drawingml/2006/main">
          <a:off x="5953731" y="1059622"/>
          <a:ext cx="725767" cy="43678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 b="1">
              <a:solidFill>
                <a:srgbClr val="00B050"/>
              </a:solidFill>
            </a:rPr>
            <a:t>Naming</a:t>
          </a:r>
          <a:r>
            <a:rPr lang="en-GB" sz="1100" b="1" baseline="0">
              <a:solidFill>
                <a:srgbClr val="00B050"/>
              </a:solidFill>
            </a:rPr>
            <a:t> accuracy</a:t>
          </a:r>
          <a:endParaRPr lang="en-GB" sz="11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0.7912</cdr:x>
      <cdr:y>0.15344</cdr:y>
    </cdr:from>
    <cdr:to>
      <cdr:x>0.87193</cdr:x>
      <cdr:y>0.19388</cdr:y>
    </cdr:to>
    <cdr:sp macro="" textlink="">
      <cdr:nvSpPr>
        <cdr:cNvPr id="10" name="TextBox 10">
          <a:extLst xmlns:a="http://schemas.openxmlformats.org/drawingml/2006/main">
            <a:ext uri="{FF2B5EF4-FFF2-40B4-BE49-F238E27FC236}">
              <a16:creationId xmlns:a16="http://schemas.microsoft.com/office/drawing/2014/main" id="{3F92E902-E17E-41AD-BDE9-2E924F97F32D}"/>
            </a:ext>
          </a:extLst>
        </cdr:cNvPr>
        <cdr:cNvSpPr txBox="1"/>
      </cdr:nvSpPr>
      <cdr:spPr>
        <a:xfrm xmlns:a="http://schemas.openxmlformats.org/drawingml/2006/main">
          <a:off x="7753734" y="1030562"/>
          <a:ext cx="791120" cy="2716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 b="1">
              <a:solidFill>
                <a:sysClr val="windowText" lastClr="000000"/>
              </a:solidFill>
            </a:rPr>
            <a:t>Spelling</a:t>
          </a:r>
          <a:r>
            <a:rPr lang="en-GB" sz="1100" b="1" baseline="0">
              <a:solidFill>
                <a:sysClr val="windowText" lastClr="000000"/>
              </a:solidFill>
            </a:rPr>
            <a:t> </a:t>
          </a:r>
          <a:endParaRPr lang="en-GB" sz="11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0.87546</cdr:x>
      <cdr:y>0.15586</cdr:y>
    </cdr:from>
    <cdr:to>
      <cdr:x>0.95618</cdr:x>
      <cdr:y>0.1963</cdr:y>
    </cdr:to>
    <cdr:sp macro="" textlink="">
      <cdr:nvSpPr>
        <cdr:cNvPr id="11" name="TextBox 11">
          <a:extLst xmlns:a="http://schemas.openxmlformats.org/drawingml/2006/main">
            <a:ext uri="{FF2B5EF4-FFF2-40B4-BE49-F238E27FC236}">
              <a16:creationId xmlns:a16="http://schemas.microsoft.com/office/drawing/2014/main" id="{9A996D72-7F9D-4C88-A3BE-50CA7D960704}"/>
            </a:ext>
          </a:extLst>
        </cdr:cNvPr>
        <cdr:cNvSpPr txBox="1"/>
      </cdr:nvSpPr>
      <cdr:spPr>
        <a:xfrm xmlns:a="http://schemas.openxmlformats.org/drawingml/2006/main">
          <a:off x="8579391" y="1046816"/>
          <a:ext cx="791120" cy="2716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100" b="1">
              <a:solidFill>
                <a:srgbClr val="00B050"/>
              </a:solidFill>
            </a:rPr>
            <a:t>Other</a:t>
          </a:r>
          <a:r>
            <a:rPr lang="en-GB" sz="1100" b="1" baseline="0">
              <a:solidFill>
                <a:srgbClr val="00B050"/>
              </a:solidFill>
            </a:rPr>
            <a:t> </a:t>
          </a:r>
          <a:endParaRPr lang="en-GB" sz="1100" b="1">
            <a:solidFill>
              <a:srgbClr val="00B05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0.69694</cdr:x>
      <cdr:y>0.08606</cdr:y>
    </cdr:from>
    <cdr:to>
      <cdr:x>0.83597</cdr:x>
      <cdr:y>0.12771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7FC839-7153-71AA-00AE-4A5FC36191F1}"/>
            </a:ext>
          </a:extLst>
        </cdr:cNvPr>
        <cdr:cNvSpPr txBox="1"/>
      </cdr:nvSpPr>
      <cdr:spPr>
        <a:xfrm xmlns:a="http://schemas.openxmlformats.org/drawingml/2006/main">
          <a:off x="6834926" y="631221"/>
          <a:ext cx="1363477" cy="3054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800" b="1"/>
            <a:t>Verbal stimuli</a:t>
          </a:r>
          <a:r>
            <a:rPr lang="en-GB" sz="1800" b="1" baseline="0"/>
            <a:t> tasks </a:t>
          </a:r>
          <a:endParaRPr lang="en-GB" sz="1800" b="1"/>
        </a:p>
      </cdr:txBody>
    </cdr:sp>
  </cdr:relSizeAnchor>
  <cdr:relSizeAnchor xmlns:cdr="http://schemas.openxmlformats.org/drawingml/2006/chartDrawing">
    <cdr:from>
      <cdr:x>0.21869</cdr:x>
      <cdr:y>0.08728</cdr:y>
    </cdr:from>
    <cdr:to>
      <cdr:x>0.35009</cdr:x>
      <cdr:y>0.12558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FC135AC-8AE3-6923-92C3-C5B1B15D154B}"/>
            </a:ext>
          </a:extLst>
        </cdr:cNvPr>
        <cdr:cNvSpPr txBox="1"/>
      </cdr:nvSpPr>
      <cdr:spPr>
        <a:xfrm xmlns:a="http://schemas.openxmlformats.org/drawingml/2006/main">
          <a:off x="2144738" y="640123"/>
          <a:ext cx="1288622" cy="280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800" b="1"/>
            <a:t>Visual</a:t>
          </a:r>
          <a:r>
            <a:rPr lang="en-GB" sz="1800" b="1" baseline="0"/>
            <a:t> stimuli tasks</a:t>
          </a:r>
          <a:endParaRPr lang="en-GB" sz="1800" b="1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Cristina Romani" id="{9BD27D27-66D2-471C-9ED3-59B90682CAA6}" userId="Cristina Romani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69" dT="2022-04-05T16:57:38.62" personId="{9BD27D27-66D2-471C-9ED3-59B90682CAA6}" id="{223B5297-3B87-674D-A360-8520C4D3521C}">
    <text>median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76" dT="2022-04-05T16:57:38.62" personId="{9BD27D27-66D2-471C-9ED3-59B90682CAA6}" id="{38FE3201-57B9-4A39-98E5-8CE6A5CA37DD}">
    <text>median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967C-EC06-4FCE-98E9-6DF57DC33DC1}">
  <dimension ref="A1:E26"/>
  <sheetViews>
    <sheetView workbookViewId="0">
      <selection activeCell="B26" sqref="B26"/>
    </sheetView>
  </sheetViews>
  <sheetFormatPr defaultColWidth="8.85546875" defaultRowHeight="15" x14ac:dyDescent="0.25"/>
  <cols>
    <col min="2" max="2" width="59.42578125" customWidth="1"/>
    <col min="4" max="4" width="30" customWidth="1"/>
    <col min="5" max="5" width="65.42578125" customWidth="1"/>
  </cols>
  <sheetData>
    <row r="1" spans="1:5" x14ac:dyDescent="0.25">
      <c r="A1" t="s">
        <v>522</v>
      </c>
    </row>
    <row r="2" spans="1:5" x14ac:dyDescent="0.25">
      <c r="B2" t="s">
        <v>543</v>
      </c>
      <c r="D2" t="s">
        <v>542</v>
      </c>
    </row>
    <row r="3" spans="1:5" x14ac:dyDescent="0.25">
      <c r="B3" t="s">
        <v>544</v>
      </c>
      <c r="D3" t="s">
        <v>541</v>
      </c>
    </row>
    <row r="4" spans="1:5" x14ac:dyDescent="0.25">
      <c r="B4" t="s">
        <v>549</v>
      </c>
      <c r="D4" t="s">
        <v>545</v>
      </c>
    </row>
    <row r="6" spans="1:5" x14ac:dyDescent="0.25">
      <c r="B6" t="s">
        <v>567</v>
      </c>
      <c r="D6" t="s">
        <v>609</v>
      </c>
      <c r="E6" t="s">
        <v>573</v>
      </c>
    </row>
    <row r="7" spans="1:5" x14ac:dyDescent="0.25">
      <c r="B7" t="s">
        <v>537</v>
      </c>
      <c r="D7" t="s">
        <v>609</v>
      </c>
      <c r="E7" t="s">
        <v>580</v>
      </c>
    </row>
    <row r="8" spans="1:5" x14ac:dyDescent="0.25">
      <c r="B8" t="s">
        <v>608</v>
      </c>
      <c r="D8" s="108" t="s">
        <v>540</v>
      </c>
      <c r="E8" t="s">
        <v>558</v>
      </c>
    </row>
    <row r="9" spans="1:5" x14ac:dyDescent="0.25">
      <c r="B9" t="s">
        <v>539</v>
      </c>
      <c r="D9" s="147" t="s">
        <v>540</v>
      </c>
    </row>
    <row r="10" spans="1:5" x14ac:dyDescent="0.25">
      <c r="B10" t="s">
        <v>538</v>
      </c>
      <c r="D10" s="147" t="s">
        <v>540</v>
      </c>
    </row>
    <row r="14" spans="1:5" x14ac:dyDescent="0.25">
      <c r="B14" s="108" t="s">
        <v>615</v>
      </c>
    </row>
    <row r="15" spans="1:5" x14ac:dyDescent="0.25">
      <c r="B15" t="s">
        <v>27</v>
      </c>
    </row>
    <row r="16" spans="1:5" x14ac:dyDescent="0.25">
      <c r="B16" t="s">
        <v>86</v>
      </c>
    </row>
    <row r="17" spans="2:2" x14ac:dyDescent="0.25">
      <c r="B17" t="s">
        <v>610</v>
      </c>
    </row>
    <row r="18" spans="2:2" x14ac:dyDescent="0.25">
      <c r="B18" t="s">
        <v>611</v>
      </c>
    </row>
    <row r="19" spans="2:2" x14ac:dyDescent="0.25">
      <c r="B19" s="108" t="s">
        <v>616</v>
      </c>
    </row>
    <row r="20" spans="2:2" x14ac:dyDescent="0.25">
      <c r="B20" t="s">
        <v>612</v>
      </c>
    </row>
    <row r="21" spans="2:2" x14ac:dyDescent="0.25">
      <c r="B21" t="s">
        <v>373</v>
      </c>
    </row>
    <row r="22" spans="2:2" x14ac:dyDescent="0.25">
      <c r="B22" t="s">
        <v>614</v>
      </c>
    </row>
    <row r="24" spans="2:2" x14ac:dyDescent="0.25">
      <c r="B24" s="108" t="s">
        <v>617</v>
      </c>
    </row>
    <row r="26" spans="2:2" x14ac:dyDescent="0.25">
      <c r="B26" s="108" t="s">
        <v>629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67259-B18C-424A-ACFF-FFBC0797FF2F}">
  <dimension ref="A1:J15"/>
  <sheetViews>
    <sheetView workbookViewId="0">
      <selection activeCell="C25" sqref="C25"/>
    </sheetView>
  </sheetViews>
  <sheetFormatPr defaultColWidth="8.85546875" defaultRowHeight="15" x14ac:dyDescent="0.25"/>
  <cols>
    <col min="3" max="3" width="13.85546875" style="102" customWidth="1"/>
    <col min="4" max="5" width="8.42578125" style="102" customWidth="1"/>
    <col min="6" max="6" width="5.42578125" style="102" customWidth="1"/>
    <col min="7" max="7" width="14.140625" style="102" customWidth="1"/>
    <col min="8" max="8" width="14.140625" style="114" customWidth="1"/>
    <col min="9" max="9" width="9.140625" style="102"/>
  </cols>
  <sheetData>
    <row r="1" spans="1:10" x14ac:dyDescent="0.25">
      <c r="B1" t="s">
        <v>567</v>
      </c>
    </row>
    <row r="2" spans="1:10" x14ac:dyDescent="0.25">
      <c r="C2" s="102" t="s">
        <v>524</v>
      </c>
      <c r="D2" s="102" t="s">
        <v>525</v>
      </c>
      <c r="E2" s="102" t="s">
        <v>528</v>
      </c>
      <c r="F2" s="102" t="s">
        <v>412</v>
      </c>
      <c r="G2" s="102" t="s">
        <v>523</v>
      </c>
      <c r="H2" s="114" t="s">
        <v>605</v>
      </c>
    </row>
    <row r="3" spans="1:10" x14ac:dyDescent="0.25">
      <c r="A3" s="169">
        <v>1</v>
      </c>
      <c r="B3" s="169" t="s">
        <v>533</v>
      </c>
      <c r="C3" s="170">
        <v>19</v>
      </c>
      <c r="D3" s="170" t="s">
        <v>526</v>
      </c>
      <c r="E3" s="170" t="s">
        <v>532</v>
      </c>
      <c r="F3" s="170">
        <v>71</v>
      </c>
      <c r="G3" s="170">
        <v>27</v>
      </c>
      <c r="H3" s="170">
        <v>37</v>
      </c>
      <c r="I3" s="170">
        <v>1011</v>
      </c>
    </row>
    <row r="4" spans="1:10" x14ac:dyDescent="0.25">
      <c r="A4" s="169">
        <v>7</v>
      </c>
      <c r="B4" s="169" t="s">
        <v>533</v>
      </c>
      <c r="C4" s="170">
        <v>17</v>
      </c>
      <c r="D4" s="170" t="s">
        <v>526</v>
      </c>
      <c r="E4" s="170" t="s">
        <v>529</v>
      </c>
      <c r="F4" s="170">
        <v>102</v>
      </c>
      <c r="G4" s="170">
        <v>25</v>
      </c>
      <c r="H4" s="170">
        <v>30</v>
      </c>
      <c r="I4" s="170">
        <v>605</v>
      </c>
    </row>
    <row r="5" spans="1:10" x14ac:dyDescent="0.25">
      <c r="A5" s="169">
        <v>8</v>
      </c>
      <c r="B5" s="169" t="s">
        <v>533</v>
      </c>
      <c r="C5" s="170">
        <v>16</v>
      </c>
      <c r="D5" s="170" t="s">
        <v>526</v>
      </c>
      <c r="E5" s="170" t="s">
        <v>530</v>
      </c>
      <c r="F5" s="170">
        <v>85</v>
      </c>
      <c r="G5" s="170">
        <v>23</v>
      </c>
      <c r="H5" s="170">
        <v>29</v>
      </c>
      <c r="I5" s="170">
        <v>675</v>
      </c>
    </row>
    <row r="6" spans="1:10" x14ac:dyDescent="0.25">
      <c r="A6" s="169">
        <v>15</v>
      </c>
      <c r="B6" s="169" t="s">
        <v>533</v>
      </c>
      <c r="C6" s="170">
        <v>16</v>
      </c>
      <c r="D6" s="170" t="s">
        <v>526</v>
      </c>
      <c r="E6" s="170" t="s">
        <v>531</v>
      </c>
      <c r="F6" s="170">
        <v>82</v>
      </c>
      <c r="G6" s="170">
        <v>23</v>
      </c>
      <c r="H6" s="170">
        <v>27</v>
      </c>
      <c r="I6" s="170">
        <v>1052</v>
      </c>
    </row>
    <row r="7" spans="1:10" x14ac:dyDescent="0.25">
      <c r="A7" s="171">
        <v>11</v>
      </c>
      <c r="B7" t="s">
        <v>533</v>
      </c>
      <c r="C7" s="102">
        <v>21</v>
      </c>
      <c r="D7" s="102" t="s">
        <v>526</v>
      </c>
      <c r="E7" s="102" t="s">
        <v>532</v>
      </c>
      <c r="F7" s="102">
        <v>83</v>
      </c>
      <c r="G7" s="102">
        <v>27</v>
      </c>
      <c r="H7" s="114">
        <v>46</v>
      </c>
      <c r="I7" s="102">
        <v>1371</v>
      </c>
    </row>
    <row r="8" spans="1:10" x14ac:dyDescent="0.25">
      <c r="A8" s="171">
        <v>12</v>
      </c>
      <c r="B8" t="s">
        <v>533</v>
      </c>
      <c r="C8" s="102">
        <v>16</v>
      </c>
      <c r="D8" s="102" t="s">
        <v>527</v>
      </c>
      <c r="E8" s="102" t="s">
        <v>531</v>
      </c>
      <c r="F8" s="102">
        <v>107</v>
      </c>
      <c r="G8" s="102">
        <v>27</v>
      </c>
      <c r="H8" s="114">
        <v>33</v>
      </c>
      <c r="I8" s="102">
        <v>1385</v>
      </c>
    </row>
    <row r="9" spans="1:10" x14ac:dyDescent="0.25">
      <c r="A9" s="171">
        <v>13</v>
      </c>
      <c r="B9" t="s">
        <v>533</v>
      </c>
      <c r="C9" s="102">
        <v>16</v>
      </c>
      <c r="D9" s="102" t="s">
        <v>526</v>
      </c>
      <c r="E9" s="102" t="s">
        <v>531</v>
      </c>
      <c r="F9" s="102">
        <v>100</v>
      </c>
      <c r="G9" s="102">
        <v>22</v>
      </c>
      <c r="H9" s="114">
        <v>32</v>
      </c>
      <c r="I9" s="102">
        <v>1260</v>
      </c>
      <c r="J9" s="114"/>
    </row>
    <row r="11" spans="1:10" x14ac:dyDescent="0.25">
      <c r="G11" s="103">
        <f>AVERAGE(G3:G9)</f>
        <v>24.857142857142858</v>
      </c>
      <c r="H11" s="103">
        <f>AVERAGE(H3:H9)</f>
        <v>33.428571428571431</v>
      </c>
      <c r="I11" s="103">
        <f>AVERAGE(I3:I9)</f>
        <v>1051.2857142857142</v>
      </c>
    </row>
    <row r="12" spans="1:10" x14ac:dyDescent="0.25">
      <c r="G12" s="103">
        <f>STDEV(G3:G9)</f>
        <v>2.193062655175134</v>
      </c>
      <c r="H12" s="103">
        <f>STDEV(H3:H9)</f>
        <v>6.3994047342218385</v>
      </c>
    </row>
    <row r="14" spans="1:10" x14ac:dyDescent="0.25">
      <c r="B14" t="s">
        <v>534</v>
      </c>
      <c r="C14" s="102" t="s">
        <v>536</v>
      </c>
      <c r="G14" s="102">
        <v>26.4</v>
      </c>
      <c r="H14" s="114">
        <v>21.5</v>
      </c>
    </row>
    <row r="15" spans="1:10" x14ac:dyDescent="0.25">
      <c r="B15" t="s">
        <v>535</v>
      </c>
      <c r="G15" s="102">
        <v>3.6</v>
      </c>
      <c r="H15" s="114">
        <v>3.4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9CD3-6656-4A07-9E59-B26A555CFB19}">
  <dimension ref="A1:N16"/>
  <sheetViews>
    <sheetView workbookViewId="0">
      <selection activeCell="F5" sqref="F5:N13"/>
    </sheetView>
  </sheetViews>
  <sheetFormatPr defaultColWidth="8.85546875" defaultRowHeight="15" x14ac:dyDescent="0.25"/>
  <cols>
    <col min="4" max="4" width="13.28515625" customWidth="1"/>
    <col min="5" max="5" width="1.42578125" customWidth="1"/>
    <col min="6" max="6" width="11.28515625" customWidth="1"/>
    <col min="9" max="9" width="2.7109375" customWidth="1"/>
    <col min="10" max="10" width="16.7109375" customWidth="1"/>
    <col min="11" max="11" width="15.28515625" customWidth="1"/>
    <col min="12" max="12" width="3.42578125" customWidth="1"/>
    <col min="13" max="13" width="12.85546875" customWidth="1"/>
  </cols>
  <sheetData>
    <row r="1" spans="1:14" x14ac:dyDescent="0.25">
      <c r="A1" t="s">
        <v>574</v>
      </c>
    </row>
    <row r="2" spans="1:14" x14ac:dyDescent="0.25">
      <c r="F2" s="312" t="s">
        <v>586</v>
      </c>
      <c r="G2" s="312"/>
      <c r="H2" s="312"/>
      <c r="M2" s="311" t="s">
        <v>581</v>
      </c>
      <c r="N2" s="311"/>
    </row>
    <row r="3" spans="1:14" ht="45" customHeight="1" x14ac:dyDescent="0.25">
      <c r="A3" s="102" t="s">
        <v>575</v>
      </c>
      <c r="B3" s="102" t="s">
        <v>412</v>
      </c>
      <c r="C3" s="102" t="s">
        <v>434</v>
      </c>
      <c r="D3" s="148" t="s">
        <v>576</v>
      </c>
      <c r="F3" s="148" t="s">
        <v>578</v>
      </c>
      <c r="G3" s="148" t="s">
        <v>577</v>
      </c>
      <c r="H3" t="s">
        <v>579</v>
      </c>
      <c r="J3" s="73" t="s">
        <v>584</v>
      </c>
      <c r="K3" s="73" t="s">
        <v>585</v>
      </c>
      <c r="L3" s="73"/>
      <c r="M3" t="s">
        <v>582</v>
      </c>
      <c r="N3" t="s">
        <v>583</v>
      </c>
    </row>
    <row r="4" spans="1:14" ht="45" customHeight="1" x14ac:dyDescent="0.25">
      <c r="A4" s="102"/>
      <c r="B4" s="102"/>
      <c r="C4" s="102"/>
      <c r="D4" s="148"/>
      <c r="F4" s="148" t="s">
        <v>589</v>
      </c>
      <c r="G4" s="148" t="s">
        <v>588</v>
      </c>
      <c r="H4" s="64" t="s">
        <v>587</v>
      </c>
      <c r="J4" s="73"/>
      <c r="K4" s="73"/>
      <c r="L4" s="73"/>
    </row>
    <row r="5" spans="1:14" x14ac:dyDescent="0.25">
      <c r="A5" s="102">
        <v>9</v>
      </c>
      <c r="B5" s="102">
        <v>120</v>
      </c>
      <c r="C5" s="102">
        <v>16</v>
      </c>
      <c r="D5" s="102">
        <v>743.5</v>
      </c>
      <c r="F5" s="102">
        <v>122</v>
      </c>
      <c r="G5" s="102">
        <v>93</v>
      </c>
      <c r="H5" s="102">
        <v>91</v>
      </c>
      <c r="J5" s="102">
        <v>10</v>
      </c>
      <c r="K5" s="102">
        <v>70</v>
      </c>
      <c r="M5" s="102">
        <v>82</v>
      </c>
      <c r="N5" s="102">
        <v>98</v>
      </c>
    </row>
    <row r="6" spans="1:14" x14ac:dyDescent="0.25">
      <c r="A6" s="102">
        <v>10</v>
      </c>
      <c r="B6" s="102">
        <v>82</v>
      </c>
      <c r="C6" s="102">
        <v>16</v>
      </c>
      <c r="D6" s="102">
        <v>571</v>
      </c>
      <c r="F6" s="102">
        <v>71</v>
      </c>
      <c r="G6" s="102">
        <v>77</v>
      </c>
      <c r="H6" s="102">
        <v>91</v>
      </c>
      <c r="J6" s="102">
        <v>60</v>
      </c>
      <c r="K6" s="102">
        <v>40</v>
      </c>
      <c r="M6" s="102">
        <v>81</v>
      </c>
      <c r="N6" s="102">
        <v>88</v>
      </c>
    </row>
    <row r="7" spans="1:14" x14ac:dyDescent="0.25">
      <c r="A7" s="102">
        <v>11</v>
      </c>
      <c r="B7" s="102">
        <v>116</v>
      </c>
      <c r="C7" s="102">
        <v>17</v>
      </c>
      <c r="D7" s="102">
        <v>545</v>
      </c>
      <c r="F7" s="102">
        <v>100</v>
      </c>
      <c r="G7" s="102">
        <v>128</v>
      </c>
      <c r="H7" s="102">
        <v>108</v>
      </c>
      <c r="J7" s="102">
        <v>60</v>
      </c>
      <c r="K7" s="102">
        <v>20</v>
      </c>
      <c r="M7" s="102">
        <v>119</v>
      </c>
      <c r="N7" s="102">
        <v>119</v>
      </c>
    </row>
    <row r="8" spans="1:14" x14ac:dyDescent="0.25">
      <c r="A8" s="102">
        <v>12</v>
      </c>
      <c r="B8" s="102">
        <v>81</v>
      </c>
      <c r="C8" s="102">
        <v>17</v>
      </c>
      <c r="D8" s="102">
        <v>1050.5</v>
      </c>
      <c r="F8" s="102">
        <v>95</v>
      </c>
      <c r="G8" s="102">
        <v>77</v>
      </c>
      <c r="H8" s="102">
        <v>75</v>
      </c>
      <c r="J8" s="102">
        <v>25</v>
      </c>
      <c r="K8" s="102">
        <v>5</v>
      </c>
      <c r="M8" s="102">
        <v>90</v>
      </c>
      <c r="N8" s="102">
        <v>100</v>
      </c>
    </row>
    <row r="9" spans="1:14" x14ac:dyDescent="0.25">
      <c r="A9" s="102">
        <v>13</v>
      </c>
      <c r="B9" s="102">
        <v>124</v>
      </c>
      <c r="C9" s="102">
        <v>17</v>
      </c>
      <c r="D9" s="102">
        <v>606</v>
      </c>
      <c r="F9" s="102">
        <v>86</v>
      </c>
      <c r="G9" s="102">
        <v>100</v>
      </c>
      <c r="H9" s="102">
        <v>84</v>
      </c>
      <c r="J9" s="102">
        <v>10</v>
      </c>
      <c r="K9" s="102">
        <v>5</v>
      </c>
      <c r="M9" s="102">
        <v>108</v>
      </c>
      <c r="N9" s="102">
        <v>118</v>
      </c>
    </row>
    <row r="10" spans="1:14" x14ac:dyDescent="0.25">
      <c r="A10" s="102">
        <v>14</v>
      </c>
      <c r="B10" s="102">
        <v>114</v>
      </c>
      <c r="C10" s="102">
        <v>17</v>
      </c>
      <c r="D10" s="102">
        <v>478</v>
      </c>
      <c r="F10" s="102">
        <v>92</v>
      </c>
      <c r="G10" s="102">
        <v>95</v>
      </c>
      <c r="H10" s="102">
        <v>102</v>
      </c>
      <c r="J10" s="102">
        <v>20</v>
      </c>
      <c r="K10" s="102">
        <v>15</v>
      </c>
      <c r="M10" s="102">
        <v>119</v>
      </c>
      <c r="N10" s="102">
        <v>122</v>
      </c>
    </row>
    <row r="11" spans="1:14" x14ac:dyDescent="0.25">
      <c r="A11" s="102">
        <v>15</v>
      </c>
      <c r="B11" s="102">
        <v>94</v>
      </c>
      <c r="C11" s="102">
        <v>17</v>
      </c>
      <c r="D11" s="102">
        <v>754</v>
      </c>
      <c r="F11" s="102">
        <v>100</v>
      </c>
      <c r="G11" s="102">
        <v>71</v>
      </c>
      <c r="H11" s="102">
        <v>71</v>
      </c>
      <c r="J11" s="102">
        <v>100</v>
      </c>
      <c r="K11" s="102">
        <v>50</v>
      </c>
      <c r="M11" s="102">
        <v>85</v>
      </c>
      <c r="N11" s="102">
        <v>76</v>
      </c>
    </row>
    <row r="12" spans="1:14" x14ac:dyDescent="0.25">
      <c r="A12" s="102">
        <v>16</v>
      </c>
      <c r="B12" s="102">
        <v>103</v>
      </c>
      <c r="C12" s="102">
        <v>18</v>
      </c>
      <c r="D12" s="102">
        <v>699</v>
      </c>
      <c r="F12" s="102">
        <v>119</v>
      </c>
      <c r="G12" s="102">
        <v>89</v>
      </c>
      <c r="H12" s="102">
        <v>91</v>
      </c>
      <c r="J12" s="102">
        <v>20</v>
      </c>
      <c r="K12" s="102">
        <v>55</v>
      </c>
      <c r="M12" s="102">
        <v>108</v>
      </c>
      <c r="N12" s="102">
        <v>108</v>
      </c>
    </row>
    <row r="13" spans="1:14" x14ac:dyDescent="0.25">
      <c r="A13" s="102">
        <v>17</v>
      </c>
      <c r="B13" s="102">
        <v>80</v>
      </c>
      <c r="C13" s="102">
        <v>20</v>
      </c>
      <c r="D13" s="102">
        <v>834</v>
      </c>
      <c r="F13" s="102">
        <v>50</v>
      </c>
      <c r="G13" s="102">
        <v>73</v>
      </c>
      <c r="H13" s="102">
        <v>75</v>
      </c>
      <c r="J13" s="102">
        <v>10</v>
      </c>
      <c r="K13" s="102">
        <v>10</v>
      </c>
      <c r="M13" s="102">
        <v>100</v>
      </c>
      <c r="N13" s="102">
        <v>100</v>
      </c>
    </row>
    <row r="15" spans="1:14" x14ac:dyDescent="0.25">
      <c r="B15" s="103">
        <f t="shared" ref="B15:N15" si="0">AVERAGE(B5:B13)</f>
        <v>101.55555555555556</v>
      </c>
      <c r="C15" s="103">
        <f t="shared" si="0"/>
        <v>17.222222222222221</v>
      </c>
      <c r="D15" s="103">
        <f t="shared" si="0"/>
        <v>697.88888888888891</v>
      </c>
      <c r="F15" s="103">
        <f t="shared" si="0"/>
        <v>92.777777777777771</v>
      </c>
      <c r="G15" s="151">
        <f t="shared" si="0"/>
        <v>89.222222222222229</v>
      </c>
      <c r="H15" s="151">
        <f t="shared" si="0"/>
        <v>87.555555555555557</v>
      </c>
      <c r="J15" s="103">
        <f t="shared" si="0"/>
        <v>35</v>
      </c>
      <c r="K15" s="103">
        <f t="shared" si="0"/>
        <v>30</v>
      </c>
      <c r="M15" s="103">
        <f t="shared" si="0"/>
        <v>99.111111111111114</v>
      </c>
      <c r="N15" s="103">
        <f t="shared" si="0"/>
        <v>103.22222222222223</v>
      </c>
    </row>
    <row r="16" spans="1:14" x14ac:dyDescent="0.25">
      <c r="B16" s="103">
        <f>STDEV(B5:B13)</f>
        <v>17.805273875393699</v>
      </c>
      <c r="C16" s="103">
        <f>STDEV(C5:C13)</f>
        <v>1.2018504251546631</v>
      </c>
      <c r="D16" s="103">
        <f>STDEV(D5:D13)</f>
        <v>174.77177578519687</v>
      </c>
      <c r="F16" s="103">
        <f>STDEV(F5:F13)</f>
        <v>22.365027262322872</v>
      </c>
      <c r="G16" s="103">
        <f>STDEV(G5:G13)</f>
        <v>17.893977882082151</v>
      </c>
      <c r="H16" s="103">
        <f>STDEV(H5:H13)</f>
        <v>12.570909982088702</v>
      </c>
      <c r="J16" s="103">
        <f>STDEV(J5:J13)</f>
        <v>31.424512724941337</v>
      </c>
      <c r="K16" s="103">
        <f>STDEV(K5:K13)</f>
        <v>24.238399287081645</v>
      </c>
      <c r="M16" s="103">
        <f>STDEV(M5:M13)</f>
        <v>15.218774954348701</v>
      </c>
      <c r="N16" s="103">
        <f>STDEV(N5:N13)</f>
        <v>15.262517631257474</v>
      </c>
    </row>
  </sheetData>
  <mergeCells count="2">
    <mergeCell ref="M2:N2"/>
    <mergeCell ref="F2:H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7FF1-A52C-4189-9E17-462065BA86E3}">
  <dimension ref="B1:H4"/>
  <sheetViews>
    <sheetView workbookViewId="0"/>
  </sheetViews>
  <sheetFormatPr defaultColWidth="12.42578125" defaultRowHeight="15" x14ac:dyDescent="0.25"/>
  <cols>
    <col min="5" max="5" width="40.140625" customWidth="1"/>
    <col min="6" max="6" width="32.7109375" customWidth="1"/>
  </cols>
  <sheetData>
    <row r="1" spans="2:8" x14ac:dyDescent="0.25">
      <c r="B1" t="s">
        <v>597</v>
      </c>
      <c r="D1" t="s">
        <v>598</v>
      </c>
      <c r="E1" t="s">
        <v>599</v>
      </c>
      <c r="F1" t="s">
        <v>600</v>
      </c>
      <c r="H1" t="s">
        <v>601</v>
      </c>
    </row>
    <row r="2" spans="2:8" x14ac:dyDescent="0.25">
      <c r="B2">
        <v>0.95</v>
      </c>
      <c r="D2">
        <f>_xlfn.NORM.S.INV(B2)</f>
        <v>1.6448536269514715</v>
      </c>
      <c r="E2">
        <v>100</v>
      </c>
      <c r="F2">
        <v>15</v>
      </c>
      <c r="H2">
        <f>E2+(F2*D2)</f>
        <v>124.67280440427207</v>
      </c>
    </row>
    <row r="3" spans="2:8" x14ac:dyDescent="0.25">
      <c r="B3" s="166">
        <v>0.3</v>
      </c>
      <c r="C3" s="166"/>
      <c r="D3">
        <f>_xlfn.NORM.S.INV(B3)</f>
        <v>-0.52440051270804089</v>
      </c>
      <c r="E3">
        <v>100</v>
      </c>
      <c r="F3">
        <v>15</v>
      </c>
      <c r="G3" s="166"/>
      <c r="H3">
        <f>E3+(F3*D3)</f>
        <v>92.13399230937938</v>
      </c>
    </row>
    <row r="4" spans="2:8" x14ac:dyDescent="0.25">
      <c r="G4" s="1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51F34-D3FB-7244-B97B-0D8AE515B18C}">
  <dimension ref="A1:BB294"/>
  <sheetViews>
    <sheetView tabSelected="1" zoomScale="75" zoomScaleNormal="75" workbookViewId="0">
      <pane ySplit="6" topLeftCell="A7" activePane="bottomLeft" state="frozen"/>
      <selection pane="bottomLeft"/>
    </sheetView>
  </sheetViews>
  <sheetFormatPr defaultColWidth="27" defaultRowHeight="18.75" customHeight="1" x14ac:dyDescent="0.2"/>
  <cols>
    <col min="1" max="1" width="14.28515625" style="88" customWidth="1"/>
    <col min="2" max="2" width="17.140625" style="88" customWidth="1"/>
    <col min="3" max="3" width="6.28515625" style="88" hidden="1" customWidth="1"/>
    <col min="4" max="4" width="24.42578125" style="313" customWidth="1"/>
    <col min="5" max="5" width="2" style="90" hidden="1" customWidth="1"/>
    <col min="6" max="6" width="5.7109375" style="88" customWidth="1"/>
    <col min="7" max="7" width="5.5703125" style="88" customWidth="1"/>
    <col min="8" max="8" width="2.28515625" style="88" customWidth="1"/>
    <col min="9" max="9" width="5.28515625" style="88" customWidth="1"/>
    <col min="10" max="10" width="6.42578125" style="314" customWidth="1"/>
    <col min="11" max="11" width="5" style="88" customWidth="1"/>
    <col min="12" max="12" width="8" style="90" customWidth="1"/>
    <col min="13" max="13" width="1.85546875" style="90" customWidth="1"/>
    <col min="14" max="14" width="5.42578125" style="88" customWidth="1"/>
    <col min="15" max="15" width="6.42578125" style="314" customWidth="1"/>
    <col min="16" max="16" width="6.5703125" style="88" customWidth="1"/>
    <col min="17" max="17" width="2" style="88" customWidth="1"/>
    <col min="18" max="19" width="4" style="88" hidden="1" customWidth="1"/>
    <col min="20" max="20" width="5.42578125" style="88" hidden="1" customWidth="1"/>
    <col min="21" max="21" width="7" style="88" hidden="1" customWidth="1"/>
    <col min="22" max="22" width="6.7109375" style="88" customWidth="1"/>
    <col min="23" max="23" width="0.28515625" style="222" hidden="1" customWidth="1"/>
    <col min="24" max="24" width="6.140625" style="90" customWidth="1"/>
    <col min="25" max="25" width="15.85546875" style="90" customWidth="1"/>
    <col min="26" max="27" width="15.85546875" style="88" customWidth="1"/>
    <col min="28" max="28" width="8.42578125" style="88" customWidth="1"/>
    <col min="29" max="29" width="7" style="88" customWidth="1"/>
    <col min="30" max="16384" width="27" style="88"/>
  </cols>
  <sheetData>
    <row r="1" spans="1:54" ht="18.75" customHeight="1" x14ac:dyDescent="0.2">
      <c r="A1" s="313" t="s">
        <v>677</v>
      </c>
      <c r="I1" s="88">
        <f>40 + (20*9) +19</f>
        <v>239</v>
      </c>
      <c r="O1" s="314" t="s">
        <v>674</v>
      </c>
    </row>
    <row r="2" spans="1:54" ht="19.5" customHeight="1" x14ac:dyDescent="0.2">
      <c r="A2" s="315">
        <f>7/239</f>
        <v>2.9288702928870293E-2</v>
      </c>
      <c r="B2" s="88" t="s">
        <v>671</v>
      </c>
      <c r="F2" s="88">
        <f>6/239</f>
        <v>2.5104602510460251E-2</v>
      </c>
    </row>
    <row r="3" spans="1:54" ht="18.75" customHeight="1" x14ac:dyDescent="0.2">
      <c r="F3" s="90"/>
    </row>
    <row r="4" spans="1:54" ht="18.75" customHeight="1" x14ac:dyDescent="0.2">
      <c r="A4" s="184"/>
      <c r="B4" s="184"/>
      <c r="C4" s="184"/>
      <c r="D4" s="316"/>
      <c r="E4" s="317"/>
      <c r="F4" s="184"/>
      <c r="G4" s="184"/>
      <c r="H4" s="184"/>
      <c r="I4" s="318" t="s">
        <v>0</v>
      </c>
      <c r="J4" s="318"/>
      <c r="K4" s="318"/>
      <c r="L4" s="317"/>
      <c r="M4" s="317"/>
      <c r="N4" s="319" t="s">
        <v>1</v>
      </c>
      <c r="O4" s="319"/>
      <c r="P4" s="319"/>
      <c r="Q4" s="320"/>
      <c r="R4" s="350" t="s">
        <v>686</v>
      </c>
      <c r="S4" s="350"/>
      <c r="T4" s="350"/>
      <c r="U4" s="350"/>
      <c r="V4" s="350"/>
      <c r="W4" s="321"/>
      <c r="X4" s="317"/>
      <c r="Y4" s="186"/>
      <c r="Z4" s="322"/>
    </row>
    <row r="5" spans="1:54" ht="18.75" customHeight="1" x14ac:dyDescent="0.2">
      <c r="A5" s="322"/>
      <c r="B5" s="322"/>
      <c r="C5" s="322"/>
      <c r="D5" s="323"/>
      <c r="E5" s="186"/>
      <c r="F5" s="322"/>
      <c r="G5" s="322"/>
      <c r="H5" s="322"/>
      <c r="I5" s="319" t="s">
        <v>681</v>
      </c>
      <c r="J5" s="319"/>
      <c r="K5" s="320"/>
      <c r="L5" s="317"/>
      <c r="M5" s="186"/>
      <c r="N5" s="319" t="s">
        <v>681</v>
      </c>
      <c r="O5" s="319"/>
      <c r="P5" s="320"/>
      <c r="Q5" s="324"/>
      <c r="R5" s="351"/>
      <c r="S5" s="351"/>
      <c r="T5" s="351"/>
      <c r="U5" s="351"/>
      <c r="V5" s="351"/>
      <c r="W5" s="325"/>
      <c r="X5" s="186"/>
      <c r="Y5" s="186"/>
      <c r="Z5" s="322"/>
    </row>
    <row r="6" spans="1:54" s="328" customFormat="1" ht="44.25" customHeight="1" thickBot="1" x14ac:dyDescent="0.3">
      <c r="A6" s="193" t="s">
        <v>3</v>
      </c>
      <c r="B6" s="193" t="s">
        <v>438</v>
      </c>
      <c r="C6" s="193" t="s">
        <v>682</v>
      </c>
      <c r="D6" s="193" t="s">
        <v>679</v>
      </c>
      <c r="E6" s="326" t="s">
        <v>7</v>
      </c>
      <c r="F6" s="193" t="s">
        <v>683</v>
      </c>
      <c r="G6" s="193" t="s">
        <v>684</v>
      </c>
      <c r="H6" s="194"/>
      <c r="I6" s="349" t="s">
        <v>685</v>
      </c>
      <c r="J6" s="196" t="s">
        <v>11</v>
      </c>
      <c r="K6" s="327" t="s">
        <v>678</v>
      </c>
      <c r="L6" s="195" t="s">
        <v>13</v>
      </c>
      <c r="M6" s="194"/>
      <c r="N6" s="349" t="s">
        <v>685</v>
      </c>
      <c r="O6" s="196" t="s">
        <v>11</v>
      </c>
      <c r="P6" s="327" t="s">
        <v>678</v>
      </c>
      <c r="Q6" s="194"/>
      <c r="R6" s="195" t="s">
        <v>14</v>
      </c>
      <c r="S6" s="194"/>
      <c r="T6" s="195" t="s">
        <v>15</v>
      </c>
      <c r="U6" s="195" t="s">
        <v>16</v>
      </c>
      <c r="V6" s="195" t="s">
        <v>680</v>
      </c>
      <c r="X6" s="193" t="s">
        <v>18</v>
      </c>
      <c r="Y6" s="209" t="s">
        <v>18</v>
      </c>
      <c r="Z6" s="209" t="s">
        <v>19</v>
      </c>
      <c r="AA6" s="194" t="s">
        <v>18</v>
      </c>
      <c r="AB6" s="328" t="s">
        <v>641</v>
      </c>
      <c r="AC6" s="328" t="s">
        <v>642</v>
      </c>
      <c r="AK6" s="328" t="s">
        <v>10</v>
      </c>
      <c r="AL6" s="328" t="s">
        <v>11</v>
      </c>
      <c r="AM6" s="328" t="s">
        <v>20</v>
      </c>
      <c r="AO6" s="328" t="s">
        <v>21</v>
      </c>
      <c r="AQ6" s="328" t="s">
        <v>22</v>
      </c>
      <c r="AR6" s="328" t="s">
        <v>23</v>
      </c>
      <c r="AS6" s="328" t="s">
        <v>24</v>
      </c>
      <c r="AU6" s="328" t="s">
        <v>25</v>
      </c>
      <c r="BA6" s="328" t="s">
        <v>26</v>
      </c>
    </row>
    <row r="7" spans="1:54" ht="18.75" customHeight="1" x14ac:dyDescent="0.2">
      <c r="A7" s="90" t="s">
        <v>27</v>
      </c>
      <c r="B7" s="88" t="s">
        <v>546</v>
      </c>
      <c r="C7" s="88">
        <v>2021</v>
      </c>
      <c r="D7" s="152" t="s">
        <v>29</v>
      </c>
      <c r="E7" s="174" t="s">
        <v>554</v>
      </c>
      <c r="F7" s="88">
        <v>1</v>
      </c>
      <c r="G7" s="90">
        <v>1</v>
      </c>
      <c r="H7" s="90"/>
      <c r="I7" s="198" t="s">
        <v>75</v>
      </c>
      <c r="J7" s="198" t="s">
        <v>75</v>
      </c>
      <c r="K7" s="88">
        <v>150</v>
      </c>
      <c r="L7" s="89">
        <v>908</v>
      </c>
      <c r="M7" s="89"/>
      <c r="N7" s="198" t="s">
        <v>75</v>
      </c>
      <c r="O7" s="198" t="s">
        <v>75</v>
      </c>
      <c r="P7" s="88">
        <v>76</v>
      </c>
      <c r="R7" s="156" t="s">
        <v>75</v>
      </c>
      <c r="S7" s="90"/>
      <c r="T7" s="156" t="s">
        <v>75</v>
      </c>
      <c r="U7" s="156" t="s">
        <v>75</v>
      </c>
      <c r="V7" s="174">
        <v>-0.44</v>
      </c>
      <c r="W7" s="329">
        <f>$V$42-($V$43*2.5)</f>
        <v>-2.91857232356179</v>
      </c>
      <c r="X7" s="90">
        <v>1</v>
      </c>
      <c r="Z7" s="156" t="s">
        <v>44</v>
      </c>
      <c r="AB7" s="330">
        <v>0.97</v>
      </c>
      <c r="AC7" s="331">
        <v>-5.5369999999999999</v>
      </c>
    </row>
    <row r="8" spans="1:54" ht="18.75" customHeight="1" x14ac:dyDescent="0.2">
      <c r="A8" s="90" t="s">
        <v>27</v>
      </c>
      <c r="B8" s="88" t="s">
        <v>546</v>
      </c>
      <c r="C8" s="88">
        <v>2021</v>
      </c>
      <c r="D8" s="152" t="s">
        <v>49</v>
      </c>
      <c r="E8" s="174" t="s">
        <v>553</v>
      </c>
      <c r="F8" s="88">
        <v>1</v>
      </c>
      <c r="G8" s="90">
        <v>2</v>
      </c>
      <c r="H8" s="90"/>
      <c r="I8" s="198" t="s">
        <v>75</v>
      </c>
      <c r="J8" s="198" t="s">
        <v>75</v>
      </c>
      <c r="K8" s="88">
        <v>150</v>
      </c>
      <c r="L8" s="89">
        <v>908</v>
      </c>
      <c r="M8" s="89"/>
      <c r="N8" s="198" t="s">
        <v>75</v>
      </c>
      <c r="O8" s="198" t="s">
        <v>75</v>
      </c>
      <c r="P8" s="88">
        <v>76</v>
      </c>
      <c r="R8" s="198" t="s">
        <v>75</v>
      </c>
      <c r="S8" s="90"/>
      <c r="T8" s="198" t="s">
        <v>75</v>
      </c>
      <c r="U8" s="198" t="s">
        <v>75</v>
      </c>
      <c r="V8" s="174">
        <v>7.0000000000000007E-2</v>
      </c>
      <c r="W8" s="329"/>
      <c r="X8" s="90">
        <v>1</v>
      </c>
      <c r="Z8" s="156" t="s">
        <v>44</v>
      </c>
      <c r="AB8" s="330">
        <v>0.99</v>
      </c>
      <c r="AC8" s="332">
        <v>0.90200000000000002</v>
      </c>
    </row>
    <row r="9" spans="1:54" ht="18.75" customHeight="1" x14ac:dyDescent="0.2">
      <c r="A9" s="90" t="s">
        <v>27</v>
      </c>
      <c r="B9" s="88" t="s">
        <v>546</v>
      </c>
      <c r="C9" s="88">
        <v>2021</v>
      </c>
      <c r="D9" s="222" t="s">
        <v>555</v>
      </c>
      <c r="E9" s="259" t="s">
        <v>555</v>
      </c>
      <c r="F9" s="88">
        <v>1</v>
      </c>
      <c r="G9" s="90">
        <v>3</v>
      </c>
      <c r="H9" s="90"/>
      <c r="I9" s="198" t="s">
        <v>75</v>
      </c>
      <c r="J9" s="198" t="s">
        <v>75</v>
      </c>
      <c r="K9" s="88">
        <v>152</v>
      </c>
      <c r="L9" s="89">
        <v>908</v>
      </c>
      <c r="M9" s="89"/>
      <c r="N9" s="198" t="s">
        <v>75</v>
      </c>
      <c r="O9" s="198" t="s">
        <v>75</v>
      </c>
      <c r="P9" s="88">
        <v>76</v>
      </c>
      <c r="R9" s="198" t="s">
        <v>75</v>
      </c>
      <c r="S9" s="90"/>
      <c r="T9" s="198" t="s">
        <v>75</v>
      </c>
      <c r="U9" s="198" t="s">
        <v>75</v>
      </c>
      <c r="V9" s="174">
        <v>-0.26</v>
      </c>
      <c r="W9" s="329"/>
      <c r="X9" s="90">
        <v>1</v>
      </c>
      <c r="Z9" s="156" t="s">
        <v>44</v>
      </c>
      <c r="AB9" s="330">
        <v>1</v>
      </c>
      <c r="AC9" s="333">
        <v>3.137</v>
      </c>
    </row>
    <row r="10" spans="1:54" ht="18.75" customHeight="1" x14ac:dyDescent="0.2">
      <c r="A10" s="90" t="s">
        <v>27</v>
      </c>
      <c r="B10" s="88" t="s">
        <v>546</v>
      </c>
      <c r="C10" s="88">
        <v>2021</v>
      </c>
      <c r="D10" s="222" t="s">
        <v>556</v>
      </c>
      <c r="E10" s="259" t="s">
        <v>557</v>
      </c>
      <c r="F10" s="88">
        <v>1</v>
      </c>
      <c r="G10" s="90">
        <v>4</v>
      </c>
      <c r="H10" s="90"/>
      <c r="I10" s="198" t="s">
        <v>75</v>
      </c>
      <c r="J10" s="198" t="s">
        <v>75</v>
      </c>
      <c r="K10" s="88">
        <v>152</v>
      </c>
      <c r="L10" s="89">
        <v>908</v>
      </c>
      <c r="M10" s="89"/>
      <c r="N10" s="198" t="s">
        <v>75</v>
      </c>
      <c r="O10" s="198" t="s">
        <v>75</v>
      </c>
      <c r="P10" s="88">
        <v>77</v>
      </c>
      <c r="R10" s="198"/>
      <c r="S10" s="90"/>
      <c r="T10" s="198"/>
      <c r="U10" s="198"/>
      <c r="V10" s="174">
        <v>-0.61</v>
      </c>
      <c r="W10" s="329"/>
      <c r="X10" s="90">
        <v>1</v>
      </c>
      <c r="Z10" s="156" t="s">
        <v>44</v>
      </c>
      <c r="AB10" s="330">
        <v>1.29</v>
      </c>
      <c r="AC10" s="333">
        <v>5.859</v>
      </c>
    </row>
    <row r="11" spans="1:54" ht="18.75" customHeight="1" x14ac:dyDescent="0.2">
      <c r="A11" s="90" t="s">
        <v>27</v>
      </c>
      <c r="B11" s="90" t="s">
        <v>28</v>
      </c>
      <c r="C11" s="88">
        <v>2004</v>
      </c>
      <c r="D11" s="152" t="s">
        <v>29</v>
      </c>
      <c r="E11" s="174" t="s">
        <v>30</v>
      </c>
      <c r="F11" s="90">
        <v>2</v>
      </c>
      <c r="G11" s="90">
        <v>5</v>
      </c>
      <c r="H11" s="90"/>
      <c r="I11" s="163">
        <v>8.01</v>
      </c>
      <c r="J11" s="155">
        <v>1.64</v>
      </c>
      <c r="K11" s="88">
        <v>20</v>
      </c>
      <c r="L11" s="89">
        <v>858.5</v>
      </c>
      <c r="M11" s="89"/>
      <c r="N11" s="163">
        <v>9.76</v>
      </c>
      <c r="O11" s="155">
        <v>2.5299999999999998</v>
      </c>
      <c r="P11" s="88">
        <v>20</v>
      </c>
      <c r="Q11" s="90"/>
      <c r="R11" s="157">
        <f t="shared" ref="R11:R41" si="0">(N11-I11)/SQRT((O11^2+J11^2)/2)</f>
        <v>0.82084122710449015</v>
      </c>
      <c r="S11" s="90">
        <v>-1</v>
      </c>
      <c r="T11" s="174">
        <f t="shared" ref="T11:T41" si="1">(N11-I11)/SQRT((((P11-1)*O11^2) + ((K11-1)*J11^2))/(P11+K11-2))*S11</f>
        <v>-0.82084122710449015</v>
      </c>
      <c r="U11" s="174">
        <f t="shared" ref="U11:U41" si="2">T11*(1-(3/(4*(K11+P11-2) -1)))</f>
        <v>-0.80453312325473203</v>
      </c>
      <c r="V11" s="174">
        <f t="shared" ref="V11:V41" si="3">((N11-I11)/O11)*S11 * (1-(3/(4*(K11+P11-2)-1)))</f>
        <v>-0.67795722848990914</v>
      </c>
      <c r="W11" s="329"/>
      <c r="X11" s="90">
        <v>2</v>
      </c>
      <c r="Y11" s="90" t="s">
        <v>31</v>
      </c>
      <c r="Z11" s="88" t="s">
        <v>32</v>
      </c>
      <c r="AA11" s="90" t="s">
        <v>31</v>
      </c>
      <c r="AK11" s="88">
        <v>-9.8000000000000007</v>
      </c>
      <c r="AL11" s="88">
        <v>2.5</v>
      </c>
      <c r="AM11" s="88">
        <v>20</v>
      </c>
      <c r="BA11" s="88" t="s">
        <v>28</v>
      </c>
      <c r="BB11" s="88">
        <v>1</v>
      </c>
    </row>
    <row r="12" spans="1:54" ht="18.75" customHeight="1" x14ac:dyDescent="0.2">
      <c r="A12" s="90" t="s">
        <v>27</v>
      </c>
      <c r="B12" s="90" t="s">
        <v>33</v>
      </c>
      <c r="C12" s="88">
        <v>2005</v>
      </c>
      <c r="D12" s="152" t="s">
        <v>34</v>
      </c>
      <c r="E12" s="174" t="s">
        <v>35</v>
      </c>
      <c r="F12" s="90">
        <v>3</v>
      </c>
      <c r="G12" s="90">
        <v>6</v>
      </c>
      <c r="H12" s="90"/>
      <c r="I12" s="163">
        <v>66.48</v>
      </c>
      <c r="J12" s="155">
        <v>15.75</v>
      </c>
      <c r="K12" s="88">
        <v>25</v>
      </c>
      <c r="L12" s="89">
        <v>758.79</v>
      </c>
      <c r="M12" s="89"/>
      <c r="N12" s="163">
        <v>67.599999999999994</v>
      </c>
      <c r="O12" s="155">
        <v>16.690000000000001</v>
      </c>
      <c r="P12" s="88">
        <v>25</v>
      </c>
      <c r="Q12" s="90"/>
      <c r="R12" s="157">
        <f t="shared" si="0"/>
        <v>6.9021584249196799E-2</v>
      </c>
      <c r="S12" s="90">
        <v>-1</v>
      </c>
      <c r="T12" s="174">
        <f t="shared" si="1"/>
        <v>-6.9021584249196799E-2</v>
      </c>
      <c r="U12" s="174">
        <f t="shared" si="2"/>
        <v>-6.7937475596068053E-2</v>
      </c>
      <c r="V12" s="174">
        <f t="shared" si="3"/>
        <v>-6.6052029776113907E-2</v>
      </c>
      <c r="W12" s="329"/>
      <c r="X12" s="90">
        <v>2</v>
      </c>
      <c r="Y12" s="90" t="s">
        <v>31</v>
      </c>
      <c r="Z12" s="88" t="s">
        <v>32</v>
      </c>
      <c r="AA12" s="90" t="s">
        <v>31</v>
      </c>
      <c r="AK12" s="88">
        <v>-67.599999999999994</v>
      </c>
      <c r="AL12" s="88">
        <v>16.7</v>
      </c>
      <c r="AM12" s="88">
        <v>25</v>
      </c>
      <c r="BA12" s="88" t="s">
        <v>33</v>
      </c>
      <c r="BB12" s="88">
        <v>2</v>
      </c>
    </row>
    <row r="13" spans="1:54" ht="18.75" customHeight="1" x14ac:dyDescent="0.2">
      <c r="A13" s="90" t="s">
        <v>27</v>
      </c>
      <c r="B13" s="90" t="s">
        <v>33</v>
      </c>
      <c r="C13" s="88">
        <v>2005</v>
      </c>
      <c r="D13" s="152" t="s">
        <v>36</v>
      </c>
      <c r="E13" s="174" t="s">
        <v>37</v>
      </c>
      <c r="F13" s="90">
        <v>3</v>
      </c>
      <c r="G13" s="90">
        <v>7</v>
      </c>
      <c r="H13" s="90"/>
      <c r="I13" s="163">
        <v>0.88</v>
      </c>
      <c r="J13" s="155">
        <v>0.3</v>
      </c>
      <c r="K13" s="88">
        <v>25</v>
      </c>
      <c r="L13" s="89">
        <v>758.79</v>
      </c>
      <c r="M13" s="89"/>
      <c r="N13" s="163">
        <v>0.77</v>
      </c>
      <c r="O13" s="155">
        <v>0.42</v>
      </c>
      <c r="P13" s="88">
        <v>25</v>
      </c>
      <c r="Q13" s="90"/>
      <c r="R13" s="157">
        <f t="shared" si="0"/>
        <v>-0.30139814339315502</v>
      </c>
      <c r="S13" s="90">
        <v>1</v>
      </c>
      <c r="T13" s="174">
        <f t="shared" si="1"/>
        <v>-0.30139814339315502</v>
      </c>
      <c r="U13" s="174">
        <f t="shared" si="2"/>
        <v>-0.2966641411409065</v>
      </c>
      <c r="V13" s="174">
        <f t="shared" si="3"/>
        <v>-0.25779107454500122</v>
      </c>
      <c r="W13" s="329"/>
      <c r="X13" s="90">
        <v>2</v>
      </c>
      <c r="Y13" s="90" t="s">
        <v>31</v>
      </c>
      <c r="Z13" s="88" t="s">
        <v>32</v>
      </c>
      <c r="AA13" s="90" t="s">
        <v>31</v>
      </c>
      <c r="AK13" s="88">
        <v>0.8</v>
      </c>
      <c r="AL13" s="88">
        <v>0.4</v>
      </c>
      <c r="AM13" s="88">
        <v>25</v>
      </c>
      <c r="BA13" s="88" t="s">
        <v>33</v>
      </c>
      <c r="BB13" s="88">
        <v>3</v>
      </c>
    </row>
    <row r="14" spans="1:54" ht="18.75" customHeight="1" x14ac:dyDescent="0.2">
      <c r="A14" s="90" t="s">
        <v>27</v>
      </c>
      <c r="B14" s="90" t="s">
        <v>38</v>
      </c>
      <c r="C14" s="88">
        <v>2007</v>
      </c>
      <c r="D14" s="152" t="s">
        <v>34</v>
      </c>
      <c r="E14" s="174" t="s">
        <v>39</v>
      </c>
      <c r="F14" s="90">
        <v>4</v>
      </c>
      <c r="G14" s="90">
        <v>8</v>
      </c>
      <c r="H14" s="90"/>
      <c r="I14" s="163">
        <v>60.24</v>
      </c>
      <c r="J14" s="155">
        <v>17.75</v>
      </c>
      <c r="K14" s="88">
        <v>25</v>
      </c>
      <c r="L14" s="89">
        <v>1285.68</v>
      </c>
      <c r="M14" s="89"/>
      <c r="N14" s="163">
        <v>66.040000000000006</v>
      </c>
      <c r="O14" s="155">
        <v>16.399999999999999</v>
      </c>
      <c r="P14" s="88">
        <v>45</v>
      </c>
      <c r="Q14" s="90"/>
      <c r="R14" s="157">
        <f t="shared" si="0"/>
        <v>0.33941278858608348</v>
      </c>
      <c r="S14" s="90">
        <v>-1</v>
      </c>
      <c r="T14" s="174">
        <f t="shared" si="1"/>
        <v>-0.3434229172217676</v>
      </c>
      <c r="U14" s="174">
        <f t="shared" si="2"/>
        <v>-0.33962118751082554</v>
      </c>
      <c r="V14" s="174">
        <f t="shared" si="3"/>
        <v>-0.34974349743497468</v>
      </c>
      <c r="W14" s="329"/>
      <c r="X14" s="90">
        <v>2</v>
      </c>
      <c r="Y14" s="90" t="s">
        <v>31</v>
      </c>
      <c r="Z14" s="88" t="s">
        <v>32</v>
      </c>
      <c r="AA14" s="90" t="s">
        <v>31</v>
      </c>
      <c r="AK14" s="88">
        <v>-66</v>
      </c>
      <c r="AL14" s="88">
        <v>16.399999999999999</v>
      </c>
      <c r="AM14" s="88">
        <v>45</v>
      </c>
      <c r="BA14" s="88" t="s">
        <v>38</v>
      </c>
      <c r="BB14" s="88">
        <v>4</v>
      </c>
    </row>
    <row r="15" spans="1:54" ht="18.75" customHeight="1" x14ac:dyDescent="0.2">
      <c r="A15" s="90" t="s">
        <v>27</v>
      </c>
      <c r="B15" s="90" t="s">
        <v>38</v>
      </c>
      <c r="C15" s="88">
        <v>2007</v>
      </c>
      <c r="D15" s="152" t="s">
        <v>36</v>
      </c>
      <c r="E15" s="174" t="s">
        <v>40</v>
      </c>
      <c r="F15" s="90">
        <v>4</v>
      </c>
      <c r="G15" s="90">
        <v>9</v>
      </c>
      <c r="H15" s="90"/>
      <c r="I15" s="163">
        <v>0.92</v>
      </c>
      <c r="J15" s="155">
        <v>0.35</v>
      </c>
      <c r="K15" s="88">
        <v>25</v>
      </c>
      <c r="L15" s="89">
        <v>1285.68</v>
      </c>
      <c r="M15" s="89"/>
      <c r="N15" s="163">
        <v>0.76</v>
      </c>
      <c r="O15" s="155">
        <v>16.399999999999999</v>
      </c>
      <c r="P15" s="88">
        <v>45</v>
      </c>
      <c r="Q15" s="90"/>
      <c r="R15" s="157">
        <f t="shared" si="0"/>
        <v>-1.379406453522793E-2</v>
      </c>
      <c r="S15" s="90">
        <v>1</v>
      </c>
      <c r="T15" s="174">
        <f t="shared" si="1"/>
        <v>-1.2126914431586335E-2</v>
      </c>
      <c r="U15" s="174">
        <f t="shared" si="2"/>
        <v>-1.1992668146365822E-2</v>
      </c>
      <c r="V15" s="174">
        <f t="shared" si="3"/>
        <v>-9.6480964809648132E-3</v>
      </c>
      <c r="W15" s="329"/>
      <c r="X15" s="90">
        <v>2</v>
      </c>
      <c r="Y15" s="90" t="s">
        <v>31</v>
      </c>
      <c r="Z15" s="88" t="s">
        <v>32</v>
      </c>
      <c r="AA15" s="90" t="s">
        <v>31</v>
      </c>
      <c r="AK15" s="88">
        <v>0.8</v>
      </c>
      <c r="AL15" s="88">
        <v>16.399999999999999</v>
      </c>
      <c r="AM15" s="88">
        <v>45</v>
      </c>
      <c r="BA15" s="88" t="s">
        <v>38</v>
      </c>
      <c r="BB15" s="88">
        <v>5</v>
      </c>
    </row>
    <row r="16" spans="1:54" ht="18.75" customHeight="1" x14ac:dyDescent="0.2">
      <c r="A16" s="90" t="s">
        <v>27</v>
      </c>
      <c r="B16" s="90" t="s">
        <v>41</v>
      </c>
      <c r="C16" s="88">
        <v>2007</v>
      </c>
      <c r="D16" s="152" t="s">
        <v>29</v>
      </c>
      <c r="E16" s="174" t="s">
        <v>43</v>
      </c>
      <c r="F16" s="90">
        <v>5</v>
      </c>
      <c r="G16" s="90">
        <v>10</v>
      </c>
      <c r="H16" s="90"/>
      <c r="I16" s="163">
        <v>39</v>
      </c>
      <c r="J16" s="155">
        <v>13.9</v>
      </c>
      <c r="K16" s="88">
        <v>12</v>
      </c>
      <c r="L16" s="175" t="s">
        <v>44</v>
      </c>
      <c r="M16" s="175"/>
      <c r="N16" s="163">
        <v>41</v>
      </c>
      <c r="O16" s="155">
        <v>11.1</v>
      </c>
      <c r="P16" s="88">
        <v>12</v>
      </c>
      <c r="Q16" s="90"/>
      <c r="R16" s="157">
        <f t="shared" si="0"/>
        <v>0.15900582349616935</v>
      </c>
      <c r="S16" s="90">
        <v>-1</v>
      </c>
      <c r="T16" s="174">
        <f t="shared" si="1"/>
        <v>-0.15900582349616935</v>
      </c>
      <c r="U16" s="174">
        <f t="shared" si="2"/>
        <v>-0.15352286406526697</v>
      </c>
      <c r="V16" s="174">
        <f t="shared" si="3"/>
        <v>-0.17396707051879468</v>
      </c>
      <c r="W16" s="329"/>
      <c r="X16" s="334">
        <v>1</v>
      </c>
      <c r="Y16" s="334" t="s">
        <v>46</v>
      </c>
      <c r="Z16" s="334" t="s">
        <v>47</v>
      </c>
      <c r="AA16" s="334" t="s">
        <v>48</v>
      </c>
      <c r="AK16" s="88">
        <v>-41</v>
      </c>
      <c r="AL16" s="88">
        <v>11.1</v>
      </c>
      <c r="AM16" s="88">
        <v>12</v>
      </c>
      <c r="BA16" s="88" t="s">
        <v>41</v>
      </c>
      <c r="BB16" s="88">
        <v>6</v>
      </c>
    </row>
    <row r="17" spans="1:54" ht="18.75" customHeight="1" x14ac:dyDescent="0.2">
      <c r="A17" s="90" t="s">
        <v>27</v>
      </c>
      <c r="B17" s="90" t="s">
        <v>41</v>
      </c>
      <c r="C17" s="88">
        <v>2007</v>
      </c>
      <c r="D17" s="152" t="s">
        <v>49</v>
      </c>
      <c r="E17" s="174" t="s">
        <v>50</v>
      </c>
      <c r="F17" s="90">
        <v>5</v>
      </c>
      <c r="G17" s="90">
        <v>11</v>
      </c>
      <c r="H17" s="90"/>
      <c r="I17" s="163">
        <v>21</v>
      </c>
      <c r="J17" s="155">
        <v>11.1</v>
      </c>
      <c r="K17" s="88">
        <v>12</v>
      </c>
      <c r="L17" s="175" t="s">
        <v>44</v>
      </c>
      <c r="M17" s="175"/>
      <c r="N17" s="163">
        <v>23</v>
      </c>
      <c r="O17" s="155">
        <v>3.8</v>
      </c>
      <c r="P17" s="88">
        <v>12</v>
      </c>
      <c r="Q17" s="90"/>
      <c r="R17" s="157">
        <f t="shared" si="0"/>
        <v>0.24107761462474395</v>
      </c>
      <c r="S17" s="90">
        <v>-1</v>
      </c>
      <c r="T17" s="174">
        <f t="shared" si="1"/>
        <v>-0.24107761462474395</v>
      </c>
      <c r="U17" s="174">
        <f t="shared" si="2"/>
        <v>-0.23276459343078726</v>
      </c>
      <c r="V17" s="174">
        <f t="shared" si="3"/>
        <v>-0.50816696914700543</v>
      </c>
      <c r="W17" s="329"/>
      <c r="X17" s="334">
        <v>1</v>
      </c>
      <c r="Y17" s="334" t="s">
        <v>46</v>
      </c>
      <c r="Z17" s="334" t="s">
        <v>47</v>
      </c>
      <c r="AA17" s="334" t="s">
        <v>48</v>
      </c>
      <c r="AK17" s="88">
        <v>-23</v>
      </c>
      <c r="AL17" s="88">
        <v>3.8</v>
      </c>
      <c r="AM17" s="88">
        <v>12</v>
      </c>
      <c r="BA17" s="88" t="s">
        <v>41</v>
      </c>
      <c r="BB17" s="88">
        <v>7</v>
      </c>
    </row>
    <row r="18" spans="1:54" ht="18.75" customHeight="1" x14ac:dyDescent="0.2">
      <c r="A18" s="90" t="s">
        <v>27</v>
      </c>
      <c r="B18" s="90" t="s">
        <v>41</v>
      </c>
      <c r="C18" s="88">
        <v>2007</v>
      </c>
      <c r="D18" s="152" t="s">
        <v>51</v>
      </c>
      <c r="E18" s="335" t="s">
        <v>52</v>
      </c>
      <c r="F18" s="90">
        <v>5</v>
      </c>
      <c r="G18" s="90">
        <v>12</v>
      </c>
      <c r="H18" s="90"/>
      <c r="I18" s="163">
        <v>40</v>
      </c>
      <c r="J18" s="155">
        <v>35</v>
      </c>
      <c r="K18" s="88">
        <v>12</v>
      </c>
      <c r="L18" s="175" t="s">
        <v>44</v>
      </c>
      <c r="M18" s="175"/>
      <c r="N18" s="163">
        <v>31</v>
      </c>
      <c r="O18" s="155">
        <v>11.9</v>
      </c>
      <c r="P18" s="88">
        <v>12</v>
      </c>
      <c r="Q18" s="90"/>
      <c r="R18" s="157">
        <f t="shared" si="0"/>
        <v>-0.34429856302523293</v>
      </c>
      <c r="S18" s="90">
        <v>1</v>
      </c>
      <c r="T18" s="174">
        <f t="shared" si="1"/>
        <v>-0.34429856302523293</v>
      </c>
      <c r="U18" s="174">
        <f t="shared" si="2"/>
        <v>-0.33242619878298352</v>
      </c>
      <c r="V18" s="174">
        <f t="shared" si="3"/>
        <v>-0.73022312373225151</v>
      </c>
      <c r="W18" s="329"/>
      <c r="X18" s="334">
        <v>1</v>
      </c>
      <c r="Y18" s="334" t="s">
        <v>46</v>
      </c>
      <c r="Z18" s="334" t="s">
        <v>47</v>
      </c>
      <c r="AA18" s="334" t="s">
        <v>48</v>
      </c>
      <c r="AK18" s="88">
        <v>31</v>
      </c>
      <c r="AL18" s="88">
        <v>11.9</v>
      </c>
      <c r="AM18" s="88">
        <v>12</v>
      </c>
      <c r="BA18" s="88" t="s">
        <v>41</v>
      </c>
      <c r="BB18" s="88">
        <v>8</v>
      </c>
    </row>
    <row r="19" spans="1:54" ht="18.75" customHeight="1" x14ac:dyDescent="0.2">
      <c r="A19" s="90" t="s">
        <v>27</v>
      </c>
      <c r="B19" s="90" t="s">
        <v>53</v>
      </c>
      <c r="C19" s="88">
        <v>2015</v>
      </c>
      <c r="D19" s="152" t="s">
        <v>54</v>
      </c>
      <c r="E19" s="174" t="s">
        <v>55</v>
      </c>
      <c r="F19" s="90">
        <v>6</v>
      </c>
      <c r="G19" s="90">
        <v>13</v>
      </c>
      <c r="H19" s="90"/>
      <c r="I19" s="163">
        <v>108.5</v>
      </c>
      <c r="J19" s="155">
        <v>17.82</v>
      </c>
      <c r="K19" s="88">
        <v>14</v>
      </c>
      <c r="L19" s="175" t="s">
        <v>44</v>
      </c>
      <c r="M19" s="175"/>
      <c r="N19" s="163">
        <v>105.93</v>
      </c>
      <c r="O19" s="155">
        <v>9.73</v>
      </c>
      <c r="P19" s="88">
        <v>14</v>
      </c>
      <c r="Q19" s="90"/>
      <c r="R19" s="157">
        <f t="shared" si="0"/>
        <v>-0.17901144563596375</v>
      </c>
      <c r="S19" s="90">
        <v>1</v>
      </c>
      <c r="T19" s="174">
        <f t="shared" si="1"/>
        <v>-0.17901144563596375</v>
      </c>
      <c r="U19" s="174">
        <f t="shared" si="2"/>
        <v>-0.17379752003491625</v>
      </c>
      <c r="V19" s="174">
        <f t="shared" si="3"/>
        <v>-0.25643839990420908</v>
      </c>
      <c r="W19" s="329"/>
      <c r="X19" s="334">
        <v>3</v>
      </c>
      <c r="Y19" s="334" t="s">
        <v>57</v>
      </c>
      <c r="Z19" s="88" t="s">
        <v>32</v>
      </c>
      <c r="AA19" s="334" t="s">
        <v>57</v>
      </c>
      <c r="AK19" s="88">
        <v>105.9</v>
      </c>
      <c r="AL19" s="88">
        <v>9.6999999999999993</v>
      </c>
      <c r="AM19" s="88">
        <v>14</v>
      </c>
      <c r="BA19" s="88" t="s">
        <v>53</v>
      </c>
      <c r="BB19" s="88">
        <v>9</v>
      </c>
    </row>
    <row r="20" spans="1:54" ht="18.75" customHeight="1" x14ac:dyDescent="0.2">
      <c r="A20" s="90" t="s">
        <v>27</v>
      </c>
      <c r="B20" s="90" t="s">
        <v>53</v>
      </c>
      <c r="C20" s="88">
        <v>2015</v>
      </c>
      <c r="D20" s="152" t="s">
        <v>58</v>
      </c>
      <c r="E20" s="174" t="s">
        <v>59</v>
      </c>
      <c r="F20" s="90">
        <v>6</v>
      </c>
      <c r="G20" s="90">
        <v>14</v>
      </c>
      <c r="H20" s="90"/>
      <c r="I20" s="163">
        <v>5.57</v>
      </c>
      <c r="J20" s="155">
        <v>1.1599999999999999</v>
      </c>
      <c r="K20" s="88">
        <v>14</v>
      </c>
      <c r="L20" s="175" t="s">
        <v>44</v>
      </c>
      <c r="M20" s="175"/>
      <c r="N20" s="163">
        <v>6</v>
      </c>
      <c r="O20" s="155">
        <v>0.1</v>
      </c>
      <c r="P20" s="88">
        <v>14</v>
      </c>
      <c r="Q20" s="90"/>
      <c r="R20" s="157">
        <f t="shared" si="0"/>
        <v>0.52229717078688032</v>
      </c>
      <c r="S20" s="90">
        <v>-1</v>
      </c>
      <c r="T20" s="174">
        <f t="shared" si="1"/>
        <v>-0.52229717078688032</v>
      </c>
      <c r="U20" s="174">
        <f t="shared" si="2"/>
        <v>-0.50708463183192265</v>
      </c>
      <c r="V20" s="336">
        <f t="shared" si="3"/>
        <v>-4.1747572815533953</v>
      </c>
      <c r="W20" s="329"/>
      <c r="X20" s="334">
        <v>3</v>
      </c>
      <c r="Y20" s="334" t="s">
        <v>57</v>
      </c>
      <c r="Z20" s="88" t="s">
        <v>32</v>
      </c>
      <c r="AA20" s="334" t="s">
        <v>57</v>
      </c>
      <c r="AK20" s="88">
        <v>-6</v>
      </c>
      <c r="AL20" s="88">
        <v>0.1</v>
      </c>
      <c r="AM20" s="88">
        <v>14</v>
      </c>
      <c r="BA20" s="88" t="s">
        <v>53</v>
      </c>
      <c r="BB20" s="88">
        <v>10</v>
      </c>
    </row>
    <row r="21" spans="1:54" ht="18.75" customHeight="1" x14ac:dyDescent="0.2">
      <c r="A21" s="90" t="s">
        <v>27</v>
      </c>
      <c r="B21" s="132" t="s">
        <v>60</v>
      </c>
      <c r="C21" s="88">
        <v>2017</v>
      </c>
      <c r="D21" s="152" t="s">
        <v>61</v>
      </c>
      <c r="E21" s="174" t="s">
        <v>62</v>
      </c>
      <c r="F21" s="90">
        <v>7</v>
      </c>
      <c r="G21" s="90">
        <v>15</v>
      </c>
      <c r="H21" s="90"/>
      <c r="I21" s="163">
        <v>37.299999999999997</v>
      </c>
      <c r="J21" s="155">
        <v>11.3</v>
      </c>
      <c r="K21" s="88">
        <v>37</v>
      </c>
      <c r="L21" s="89">
        <v>720</v>
      </c>
      <c r="M21" s="89"/>
      <c r="N21" s="163">
        <v>27.1</v>
      </c>
      <c r="O21" s="155">
        <v>10.199999999999999</v>
      </c>
      <c r="P21" s="88">
        <v>30</v>
      </c>
      <c r="Q21" s="90"/>
      <c r="R21" s="157">
        <f t="shared" si="0"/>
        <v>-0.94759778911230153</v>
      </c>
      <c r="S21" s="90">
        <v>1</v>
      </c>
      <c r="T21" s="174">
        <f t="shared" si="1"/>
        <v>-0.94243284589976595</v>
      </c>
      <c r="U21" s="174">
        <f t="shared" si="2"/>
        <v>-0.93151663532949835</v>
      </c>
      <c r="V21" s="174">
        <f t="shared" si="3"/>
        <v>-0.98841698841698811</v>
      </c>
      <c r="W21" s="329"/>
      <c r="X21" s="90">
        <v>1</v>
      </c>
      <c r="Y21" s="90" t="s">
        <v>63</v>
      </c>
      <c r="Z21" s="88" t="s">
        <v>32</v>
      </c>
      <c r="AA21" s="90" t="s">
        <v>48</v>
      </c>
      <c r="AK21" s="88">
        <v>27.1</v>
      </c>
      <c r="AL21" s="88">
        <v>10.199999999999999</v>
      </c>
      <c r="AM21" s="88">
        <v>30</v>
      </c>
      <c r="BA21" s="88" t="s">
        <v>60</v>
      </c>
      <c r="BB21" s="88">
        <v>14</v>
      </c>
    </row>
    <row r="22" spans="1:54" ht="18.75" customHeight="1" x14ac:dyDescent="0.2">
      <c r="A22" s="90" t="s">
        <v>27</v>
      </c>
      <c r="B22" s="132" t="s">
        <v>60</v>
      </c>
      <c r="C22" s="88">
        <v>2017</v>
      </c>
      <c r="D22" s="152" t="s">
        <v>64</v>
      </c>
      <c r="E22" s="174" t="s">
        <v>30</v>
      </c>
      <c r="F22" s="90">
        <v>7</v>
      </c>
      <c r="G22" s="90">
        <v>16</v>
      </c>
      <c r="H22" s="90"/>
      <c r="I22" s="163">
        <v>35.9</v>
      </c>
      <c r="J22" s="155">
        <v>11.4</v>
      </c>
      <c r="K22" s="88">
        <v>37</v>
      </c>
      <c r="L22" s="89">
        <v>720</v>
      </c>
      <c r="M22" s="89"/>
      <c r="N22" s="163">
        <v>41.8</v>
      </c>
      <c r="O22" s="155">
        <v>12.9</v>
      </c>
      <c r="P22" s="88">
        <v>30</v>
      </c>
      <c r="Q22" s="90"/>
      <c r="R22" s="157">
        <f t="shared" si="0"/>
        <v>0.4846741857884948</v>
      </c>
      <c r="S22" s="90">
        <v>-1</v>
      </c>
      <c r="T22" s="174">
        <f t="shared" si="1"/>
        <v>-0.48791615148286677</v>
      </c>
      <c r="U22" s="174">
        <f t="shared" si="2"/>
        <v>-0.48226461304870227</v>
      </c>
      <c r="V22" s="174">
        <f t="shared" si="3"/>
        <v>-0.45206668462482402</v>
      </c>
      <c r="W22" s="329"/>
      <c r="X22" s="90">
        <v>1</v>
      </c>
      <c r="Y22" s="90" t="s">
        <v>63</v>
      </c>
      <c r="Z22" s="88" t="s">
        <v>32</v>
      </c>
      <c r="AA22" s="90" t="s">
        <v>48</v>
      </c>
      <c r="AK22" s="88">
        <v>-25</v>
      </c>
      <c r="AL22" s="88">
        <v>5</v>
      </c>
      <c r="AM22" s="88">
        <v>30</v>
      </c>
      <c r="BA22" s="88" t="s">
        <v>65</v>
      </c>
      <c r="BB22" s="88">
        <v>15</v>
      </c>
    </row>
    <row r="23" spans="1:54" ht="18.75" customHeight="1" x14ac:dyDescent="0.2">
      <c r="A23" s="90" t="s">
        <v>27</v>
      </c>
      <c r="B23" s="132" t="s">
        <v>60</v>
      </c>
      <c r="C23" s="88">
        <v>2017</v>
      </c>
      <c r="D23" s="152" t="s">
        <v>66</v>
      </c>
      <c r="E23" s="174" t="s">
        <v>50</v>
      </c>
      <c r="F23" s="90">
        <v>7</v>
      </c>
      <c r="G23" s="90">
        <v>17</v>
      </c>
      <c r="H23" s="90"/>
      <c r="I23" s="163">
        <v>21.4</v>
      </c>
      <c r="J23" s="155">
        <v>6.2</v>
      </c>
      <c r="K23" s="88">
        <v>37</v>
      </c>
      <c r="L23" s="89">
        <v>720</v>
      </c>
      <c r="M23" s="89"/>
      <c r="N23" s="163">
        <v>25</v>
      </c>
      <c r="O23" s="155">
        <v>5</v>
      </c>
      <c r="P23" s="88">
        <v>30</v>
      </c>
      <c r="Q23" s="90"/>
      <c r="R23" s="157">
        <f t="shared" si="0"/>
        <v>0.63919874180559166</v>
      </c>
      <c r="S23" s="90">
        <v>-1</v>
      </c>
      <c r="T23" s="174">
        <f t="shared" si="1"/>
        <v>-0.63202952084964537</v>
      </c>
      <c r="U23" s="174">
        <f t="shared" si="2"/>
        <v>-0.62470871558883867</v>
      </c>
      <c r="V23" s="174">
        <f t="shared" si="3"/>
        <v>-0.71166023166023196</v>
      </c>
      <c r="W23" s="329"/>
      <c r="X23" s="90">
        <v>1</v>
      </c>
      <c r="Y23" s="90" t="s">
        <v>63</v>
      </c>
      <c r="Z23" s="88" t="s">
        <v>32</v>
      </c>
      <c r="AA23" s="90" t="s">
        <v>48</v>
      </c>
      <c r="AK23" s="88">
        <v>-25</v>
      </c>
      <c r="AL23" s="88">
        <v>5</v>
      </c>
      <c r="AM23" s="88">
        <v>30</v>
      </c>
      <c r="BA23" s="88" t="s">
        <v>65</v>
      </c>
      <c r="BB23" s="88">
        <v>15</v>
      </c>
    </row>
    <row r="24" spans="1:54" ht="18.75" customHeight="1" x14ac:dyDescent="0.2">
      <c r="A24" s="90" t="s">
        <v>27</v>
      </c>
      <c r="B24" s="132" t="s">
        <v>60</v>
      </c>
      <c r="C24" s="88">
        <v>2017</v>
      </c>
      <c r="D24" s="152" t="s">
        <v>67</v>
      </c>
      <c r="E24" s="174" t="s">
        <v>68</v>
      </c>
      <c r="F24" s="90">
        <v>7</v>
      </c>
      <c r="G24" s="90">
        <v>18</v>
      </c>
      <c r="H24" s="90"/>
      <c r="I24" s="163">
        <v>19</v>
      </c>
      <c r="J24" s="155">
        <v>10.8</v>
      </c>
      <c r="K24" s="88">
        <v>37</v>
      </c>
      <c r="L24" s="89">
        <v>720</v>
      </c>
      <c r="M24" s="89"/>
      <c r="N24" s="163">
        <v>20.7</v>
      </c>
      <c r="O24" s="155">
        <v>13.3</v>
      </c>
      <c r="P24" s="88">
        <v>30</v>
      </c>
      <c r="Q24" s="90"/>
      <c r="R24" s="157">
        <f t="shared" si="0"/>
        <v>0.14032584688474611</v>
      </c>
      <c r="S24" s="90">
        <v>1</v>
      </c>
      <c r="T24" s="174">
        <f t="shared" si="1"/>
        <v>0.14190298941852078</v>
      </c>
      <c r="U24" s="174">
        <f t="shared" si="2"/>
        <v>0.1402593254484221</v>
      </c>
      <c r="V24" s="174">
        <f t="shared" si="3"/>
        <v>0.12633901355705862</v>
      </c>
      <c r="W24" s="329"/>
      <c r="X24" s="90">
        <v>1</v>
      </c>
      <c r="Y24" s="90" t="s">
        <v>63</v>
      </c>
      <c r="Z24" s="88" t="s">
        <v>32</v>
      </c>
      <c r="AA24" s="90" t="s">
        <v>48</v>
      </c>
      <c r="AK24" s="88">
        <v>20.7</v>
      </c>
      <c r="AL24" s="88">
        <v>13.3</v>
      </c>
      <c r="AM24" s="88">
        <v>30</v>
      </c>
      <c r="BA24" s="88" t="s">
        <v>60</v>
      </c>
      <c r="BB24" s="88">
        <v>11</v>
      </c>
    </row>
    <row r="25" spans="1:54" ht="18.75" customHeight="1" x14ac:dyDescent="0.2">
      <c r="A25" s="90" t="s">
        <v>27</v>
      </c>
      <c r="B25" s="132" t="s">
        <v>60</v>
      </c>
      <c r="C25" s="88">
        <v>2017</v>
      </c>
      <c r="D25" s="152" t="s">
        <v>69</v>
      </c>
      <c r="E25" s="174" t="s">
        <v>70</v>
      </c>
      <c r="F25" s="90">
        <v>7</v>
      </c>
      <c r="G25" s="90">
        <v>19</v>
      </c>
      <c r="H25" s="90"/>
      <c r="I25" s="163">
        <v>3.9</v>
      </c>
      <c r="J25" s="155">
        <v>1.2</v>
      </c>
      <c r="K25" s="88">
        <v>37</v>
      </c>
      <c r="L25" s="89">
        <v>720</v>
      </c>
      <c r="M25" s="89"/>
      <c r="N25" s="163">
        <v>4.4000000000000004</v>
      </c>
      <c r="O25" s="155">
        <v>0.9</v>
      </c>
      <c r="P25" s="88">
        <v>30</v>
      </c>
      <c r="Q25" s="90"/>
      <c r="R25" s="157">
        <f t="shared" si="0"/>
        <v>0.47140452079103212</v>
      </c>
      <c r="S25" s="90">
        <v>-1</v>
      </c>
      <c r="T25" s="174">
        <f t="shared" si="1"/>
        <v>-0.46445399085842726</v>
      </c>
      <c r="U25" s="174">
        <f t="shared" si="2"/>
        <v>-0.45907421490253814</v>
      </c>
      <c r="V25" s="174">
        <f t="shared" si="3"/>
        <v>-0.54912054912054964</v>
      </c>
      <c r="W25" s="329"/>
      <c r="X25" s="90">
        <v>1</v>
      </c>
      <c r="Y25" s="90" t="s">
        <v>63</v>
      </c>
      <c r="Z25" s="88" t="s">
        <v>32</v>
      </c>
      <c r="AA25" s="90" t="s">
        <v>48</v>
      </c>
      <c r="AK25" s="88">
        <v>-4.4000000000000004</v>
      </c>
      <c r="AL25" s="88">
        <v>0.9</v>
      </c>
      <c r="AM25" s="88">
        <v>30</v>
      </c>
      <c r="BA25" s="88" t="s">
        <v>60</v>
      </c>
      <c r="BB25" s="88">
        <v>13</v>
      </c>
    </row>
    <row r="26" spans="1:54" ht="18.75" customHeight="1" x14ac:dyDescent="0.2">
      <c r="A26" s="90" t="s">
        <v>27</v>
      </c>
      <c r="B26" s="132" t="s">
        <v>60</v>
      </c>
      <c r="C26" s="88">
        <v>2017</v>
      </c>
      <c r="D26" s="152" t="s">
        <v>54</v>
      </c>
      <c r="E26" s="90" t="s">
        <v>71</v>
      </c>
      <c r="F26" s="90">
        <v>7</v>
      </c>
      <c r="G26" s="90">
        <v>20</v>
      </c>
      <c r="H26" s="90"/>
      <c r="I26" s="163">
        <v>8.1</v>
      </c>
      <c r="J26" s="155">
        <v>5.0999999999999996</v>
      </c>
      <c r="K26" s="88">
        <v>37</v>
      </c>
      <c r="L26" s="89">
        <v>720</v>
      </c>
      <c r="M26" s="89"/>
      <c r="N26" s="163">
        <v>6.8</v>
      </c>
      <c r="O26" s="155">
        <v>4.4000000000000004</v>
      </c>
      <c r="P26" s="88">
        <v>30</v>
      </c>
      <c r="Q26" s="90"/>
      <c r="R26" s="157">
        <f t="shared" si="0"/>
        <v>-0.2729442568277331</v>
      </c>
      <c r="S26" s="90">
        <v>1</v>
      </c>
      <c r="T26" s="174">
        <f t="shared" si="1"/>
        <v>-0.27081525065373824</v>
      </c>
      <c r="U26" s="174">
        <f t="shared" si="2"/>
        <v>-0.26767839446855979</v>
      </c>
      <c r="V26" s="174">
        <f t="shared" si="3"/>
        <v>-0.29203229203229197</v>
      </c>
      <c r="W26" s="329"/>
      <c r="X26" s="90">
        <v>1</v>
      </c>
      <c r="Y26" s="90" t="s">
        <v>63</v>
      </c>
      <c r="Z26" s="88" t="s">
        <v>32</v>
      </c>
      <c r="AA26" s="90" t="s">
        <v>48</v>
      </c>
      <c r="AK26" s="88">
        <v>6.8</v>
      </c>
      <c r="AL26" s="88">
        <v>4.4000000000000004</v>
      </c>
      <c r="AM26" s="88">
        <v>30</v>
      </c>
      <c r="BA26" s="88" t="s">
        <v>60</v>
      </c>
      <c r="BB26" s="88">
        <v>12</v>
      </c>
    </row>
    <row r="27" spans="1:54" ht="18.75" customHeight="1" x14ac:dyDescent="0.2">
      <c r="A27" s="90" t="s">
        <v>27</v>
      </c>
      <c r="B27" s="90" t="s">
        <v>509</v>
      </c>
      <c r="C27" s="88">
        <v>2021</v>
      </c>
      <c r="D27" s="152" t="s">
        <v>29</v>
      </c>
      <c r="E27" s="174" t="s">
        <v>43</v>
      </c>
      <c r="F27" s="90">
        <v>8</v>
      </c>
      <c r="G27" s="90">
        <v>21</v>
      </c>
      <c r="H27" s="90"/>
      <c r="I27" s="163">
        <v>16</v>
      </c>
      <c r="J27" s="155">
        <v>8</v>
      </c>
      <c r="K27" s="88">
        <v>19</v>
      </c>
      <c r="L27" s="89">
        <v>890</v>
      </c>
      <c r="M27" s="89"/>
      <c r="N27" s="163">
        <v>21</v>
      </c>
      <c r="O27" s="155">
        <v>2.36</v>
      </c>
      <c r="P27" s="88">
        <v>25</v>
      </c>
      <c r="Q27" s="90"/>
      <c r="R27" s="157">
        <f t="shared" si="0"/>
        <v>0.84776454372811505</v>
      </c>
      <c r="S27" s="90">
        <v>-1</v>
      </c>
      <c r="T27" s="174">
        <f t="shared" si="1"/>
        <v>-0.90371153759025358</v>
      </c>
      <c r="U27" s="174">
        <f t="shared" si="2"/>
        <v>-0.88747719859162622</v>
      </c>
      <c r="V27" s="174">
        <f t="shared" si="3"/>
        <v>-2.0805845935248146</v>
      </c>
      <c r="W27" s="329"/>
      <c r="X27" s="90">
        <v>2</v>
      </c>
      <c r="Z27" s="88" t="s">
        <v>32</v>
      </c>
      <c r="AA27" s="90" t="s">
        <v>31</v>
      </c>
    </row>
    <row r="28" spans="1:54" ht="18.75" customHeight="1" x14ac:dyDescent="0.2">
      <c r="A28" s="90" t="s">
        <v>27</v>
      </c>
      <c r="B28" s="90" t="s">
        <v>509</v>
      </c>
      <c r="C28" s="88">
        <v>2021</v>
      </c>
      <c r="D28" s="152" t="s">
        <v>49</v>
      </c>
      <c r="E28" s="174" t="s">
        <v>50</v>
      </c>
      <c r="F28" s="90">
        <v>8</v>
      </c>
      <c r="G28" s="90">
        <v>22</v>
      </c>
      <c r="H28" s="90"/>
      <c r="I28" s="163">
        <v>25</v>
      </c>
      <c r="J28" s="155">
        <v>9.61</v>
      </c>
      <c r="K28" s="88">
        <v>19</v>
      </c>
      <c r="L28" s="89">
        <v>890</v>
      </c>
      <c r="M28" s="89"/>
      <c r="N28" s="163">
        <v>34</v>
      </c>
      <c r="O28" s="155">
        <v>4.72</v>
      </c>
      <c r="P28" s="88">
        <v>25</v>
      </c>
      <c r="Q28" s="90"/>
      <c r="R28" s="157">
        <f t="shared" si="0"/>
        <v>1.188796215635006</v>
      </c>
      <c r="S28" s="90">
        <v>-1</v>
      </c>
      <c r="T28" s="174">
        <f t="shared" si="1"/>
        <v>-1.244371938041448</v>
      </c>
      <c r="U28" s="174">
        <f t="shared" si="2"/>
        <v>-1.2220179511305238</v>
      </c>
      <c r="V28" s="174">
        <f t="shared" si="3"/>
        <v>-1.8725261341723332</v>
      </c>
      <c r="W28" s="329"/>
      <c r="X28" s="90">
        <v>2</v>
      </c>
      <c r="Z28" s="88" t="s">
        <v>32</v>
      </c>
      <c r="AA28" s="90" t="s">
        <v>31</v>
      </c>
    </row>
    <row r="29" spans="1:54" ht="18.75" customHeight="1" x14ac:dyDescent="0.2">
      <c r="A29" s="90" t="s">
        <v>27</v>
      </c>
      <c r="B29" s="90" t="s">
        <v>509</v>
      </c>
      <c r="C29" s="88">
        <v>2021</v>
      </c>
      <c r="D29" s="152" t="s">
        <v>511</v>
      </c>
      <c r="E29" s="335" t="s">
        <v>510</v>
      </c>
      <c r="F29" s="90">
        <v>8</v>
      </c>
      <c r="G29" s="90">
        <v>23</v>
      </c>
      <c r="H29" s="90"/>
      <c r="I29" s="163">
        <v>70</v>
      </c>
      <c r="J29" s="155">
        <v>25.63</v>
      </c>
      <c r="K29" s="88">
        <v>19</v>
      </c>
      <c r="L29" s="89">
        <v>890</v>
      </c>
      <c r="M29" s="89"/>
      <c r="N29" s="163">
        <v>41</v>
      </c>
      <c r="O29" s="155">
        <v>11</v>
      </c>
      <c r="P29" s="88">
        <v>25</v>
      </c>
      <c r="Q29" s="90"/>
      <c r="R29" s="157">
        <f t="shared" si="0"/>
        <v>-1.4704558021341929</v>
      </c>
      <c r="S29" s="90">
        <v>1</v>
      </c>
      <c r="T29" s="174">
        <f t="shared" si="1"/>
        <v>-1.5486334273376379</v>
      </c>
      <c r="U29" s="174">
        <f t="shared" si="2"/>
        <v>-1.5208136651698958</v>
      </c>
      <c r="V29" s="174">
        <f t="shared" si="3"/>
        <v>-2.5890038105606967</v>
      </c>
      <c r="W29" s="329"/>
      <c r="X29" s="90">
        <v>2</v>
      </c>
      <c r="Z29" s="88" t="s">
        <v>32</v>
      </c>
      <c r="AA29" s="90" t="s">
        <v>31</v>
      </c>
    </row>
    <row r="30" spans="1:54" ht="18.75" customHeight="1" x14ac:dyDescent="0.2">
      <c r="A30" s="90" t="s">
        <v>27</v>
      </c>
      <c r="B30" s="90" t="s">
        <v>72</v>
      </c>
      <c r="C30" s="88">
        <v>2017</v>
      </c>
      <c r="D30" s="152" t="s">
        <v>54</v>
      </c>
      <c r="E30" s="90" t="s">
        <v>71</v>
      </c>
      <c r="F30" s="90">
        <v>9</v>
      </c>
      <c r="G30" s="90">
        <v>24</v>
      </c>
      <c r="H30" s="90"/>
      <c r="I30" s="163">
        <v>21</v>
      </c>
      <c r="J30" s="155">
        <v>32</v>
      </c>
      <c r="K30" s="88">
        <v>25</v>
      </c>
      <c r="L30" s="89">
        <v>1332</v>
      </c>
      <c r="M30" s="89"/>
      <c r="N30" s="163">
        <v>12</v>
      </c>
      <c r="O30" s="155">
        <v>9</v>
      </c>
      <c r="P30" s="88">
        <v>15</v>
      </c>
      <c r="Q30" s="90"/>
      <c r="R30" s="157">
        <f t="shared" si="0"/>
        <v>-0.38289206683036531</v>
      </c>
      <c r="S30" s="90">
        <v>1</v>
      </c>
      <c r="T30" s="174">
        <f t="shared" si="1"/>
        <v>-0.34600571285103698</v>
      </c>
      <c r="U30" s="174">
        <f t="shared" si="2"/>
        <v>-0.3391314271652548</v>
      </c>
      <c r="V30" s="174">
        <f t="shared" si="3"/>
        <v>-0.98013245033112584</v>
      </c>
      <c r="W30" s="329"/>
      <c r="X30" s="90">
        <v>1</v>
      </c>
      <c r="Y30" s="90" t="s">
        <v>63</v>
      </c>
      <c r="Z30" s="88" t="s">
        <v>32</v>
      </c>
      <c r="AA30" s="90" t="s">
        <v>48</v>
      </c>
      <c r="AK30" s="88">
        <v>-12</v>
      </c>
      <c r="AL30" s="88">
        <v>9</v>
      </c>
      <c r="AM30" s="88">
        <v>15</v>
      </c>
      <c r="BA30" s="88" t="s">
        <v>72</v>
      </c>
      <c r="BB30" s="88">
        <v>16</v>
      </c>
    </row>
    <row r="31" spans="1:54" ht="18.75" customHeight="1" x14ac:dyDescent="0.2">
      <c r="A31" s="90" t="s">
        <v>27</v>
      </c>
      <c r="B31" s="132" t="s">
        <v>77</v>
      </c>
      <c r="C31" s="88">
        <v>2020</v>
      </c>
      <c r="D31" s="152" t="s">
        <v>61</v>
      </c>
      <c r="E31" s="174" t="s">
        <v>62</v>
      </c>
      <c r="F31" s="88">
        <v>10</v>
      </c>
      <c r="G31" s="90">
        <v>25</v>
      </c>
      <c r="H31" s="90"/>
      <c r="I31" s="163">
        <v>41.6</v>
      </c>
      <c r="J31" s="155">
        <v>12</v>
      </c>
      <c r="K31" s="88">
        <v>19</v>
      </c>
      <c r="L31" s="89">
        <v>1042</v>
      </c>
      <c r="M31" s="89"/>
      <c r="N31" s="163">
        <v>39.4</v>
      </c>
      <c r="O31" s="155">
        <v>9.1</v>
      </c>
      <c r="P31" s="88">
        <v>19</v>
      </c>
      <c r="R31" s="157">
        <f t="shared" si="0"/>
        <v>-0.20658870789239581</v>
      </c>
      <c r="S31" s="90">
        <v>1</v>
      </c>
      <c r="T31" s="174">
        <f t="shared" si="1"/>
        <v>-0.20658870789239581</v>
      </c>
      <c r="U31" s="174">
        <f t="shared" si="2"/>
        <v>-0.20225467905549241</v>
      </c>
      <c r="V31" s="174">
        <f t="shared" si="3"/>
        <v>-0.23668639053254473</v>
      </c>
      <c r="W31" s="329"/>
      <c r="X31" s="90">
        <v>1</v>
      </c>
      <c r="Y31" s="90" t="s">
        <v>63</v>
      </c>
      <c r="Z31" s="88" t="s">
        <v>32</v>
      </c>
      <c r="AA31" s="90" t="s">
        <v>48</v>
      </c>
    </row>
    <row r="32" spans="1:54" ht="18.75" customHeight="1" x14ac:dyDescent="0.2">
      <c r="A32" s="90" t="s">
        <v>27</v>
      </c>
      <c r="B32" s="132" t="s">
        <v>77</v>
      </c>
      <c r="C32" s="88">
        <v>2020</v>
      </c>
      <c r="D32" s="152" t="s">
        <v>64</v>
      </c>
      <c r="E32" s="174" t="s">
        <v>30</v>
      </c>
      <c r="F32" s="88">
        <v>10</v>
      </c>
      <c r="G32" s="90">
        <v>26</v>
      </c>
      <c r="H32" s="90"/>
      <c r="I32" s="163">
        <v>39</v>
      </c>
      <c r="J32" s="155">
        <v>11</v>
      </c>
      <c r="K32" s="88">
        <v>19</v>
      </c>
      <c r="L32" s="89">
        <v>1042</v>
      </c>
      <c r="M32" s="89"/>
      <c r="N32" s="163">
        <v>47.5</v>
      </c>
      <c r="O32" s="155">
        <v>9.3000000000000007</v>
      </c>
      <c r="P32" s="88">
        <v>19</v>
      </c>
      <c r="R32" s="157">
        <f t="shared" si="0"/>
        <v>0.83451728833808958</v>
      </c>
      <c r="S32" s="90">
        <v>-1</v>
      </c>
      <c r="T32" s="174">
        <f t="shared" si="1"/>
        <v>-0.83451728833808958</v>
      </c>
      <c r="U32" s="174">
        <f t="shared" si="2"/>
        <v>-0.81700993263868915</v>
      </c>
      <c r="V32" s="174">
        <f t="shared" si="3"/>
        <v>-0.89480412061057224</v>
      </c>
      <c r="W32" s="329"/>
      <c r="X32" s="90">
        <v>1</v>
      </c>
      <c r="Y32" s="90" t="s">
        <v>63</v>
      </c>
      <c r="Z32" s="88" t="s">
        <v>32</v>
      </c>
      <c r="AA32" s="90" t="s">
        <v>48</v>
      </c>
    </row>
    <row r="33" spans="1:53" ht="18.75" customHeight="1" x14ac:dyDescent="0.2">
      <c r="A33" s="90" t="s">
        <v>27</v>
      </c>
      <c r="B33" s="132" t="s">
        <v>77</v>
      </c>
      <c r="C33" s="88">
        <v>2020</v>
      </c>
      <c r="D33" s="152" t="s">
        <v>66</v>
      </c>
      <c r="E33" s="174" t="s">
        <v>50</v>
      </c>
      <c r="F33" s="88">
        <v>10</v>
      </c>
      <c r="G33" s="90">
        <v>27</v>
      </c>
      <c r="H33" s="90"/>
      <c r="I33" s="163">
        <v>20.100000000000001</v>
      </c>
      <c r="J33" s="155">
        <v>4.8</v>
      </c>
      <c r="K33" s="88">
        <v>19</v>
      </c>
      <c r="L33" s="89">
        <v>1042</v>
      </c>
      <c r="M33" s="89"/>
      <c r="N33" s="163">
        <v>23.5</v>
      </c>
      <c r="O33" s="155">
        <v>3.6</v>
      </c>
      <c r="P33" s="88">
        <v>19</v>
      </c>
      <c r="R33" s="157">
        <f t="shared" si="0"/>
        <v>0.80138768534475358</v>
      </c>
      <c r="S33" s="90">
        <v>-1</v>
      </c>
      <c r="T33" s="174">
        <f t="shared" si="1"/>
        <v>-0.80138768534475358</v>
      </c>
      <c r="U33" s="174">
        <f t="shared" si="2"/>
        <v>-0.78457535628157693</v>
      </c>
      <c r="V33" s="174">
        <f t="shared" si="3"/>
        <v>-0.92463092463092422</v>
      </c>
      <c r="W33" s="329"/>
      <c r="X33" s="90">
        <v>1</v>
      </c>
      <c r="Y33" s="90" t="s">
        <v>63</v>
      </c>
      <c r="Z33" s="88" t="s">
        <v>32</v>
      </c>
      <c r="AA33" s="90" t="s">
        <v>48</v>
      </c>
    </row>
    <row r="34" spans="1:53" ht="18.75" customHeight="1" x14ac:dyDescent="0.2">
      <c r="A34" s="90" t="s">
        <v>27</v>
      </c>
      <c r="B34" s="132" t="s">
        <v>77</v>
      </c>
      <c r="C34" s="88">
        <v>2020</v>
      </c>
      <c r="D34" s="152" t="s">
        <v>67</v>
      </c>
      <c r="E34" s="174" t="s">
        <v>68</v>
      </c>
      <c r="F34" s="88">
        <v>10</v>
      </c>
      <c r="G34" s="90">
        <v>28</v>
      </c>
      <c r="H34" s="90"/>
      <c r="I34" s="163">
        <v>47.5</v>
      </c>
      <c r="J34" s="155">
        <v>29</v>
      </c>
      <c r="K34" s="88">
        <v>19</v>
      </c>
      <c r="L34" s="89">
        <v>1042</v>
      </c>
      <c r="M34" s="89"/>
      <c r="N34" s="163">
        <v>24.4</v>
      </c>
      <c r="O34" s="155">
        <v>13.1</v>
      </c>
      <c r="P34" s="88">
        <v>19</v>
      </c>
      <c r="R34" s="157">
        <f t="shared" si="0"/>
        <v>-1.0266109016631155</v>
      </c>
      <c r="S34" s="90">
        <v>1</v>
      </c>
      <c r="T34" s="174">
        <f t="shared" si="1"/>
        <v>-1.0266109016631155</v>
      </c>
      <c r="U34" s="174">
        <f t="shared" si="2"/>
        <v>-1.0050736100198334</v>
      </c>
      <c r="V34" s="174">
        <f t="shared" si="3"/>
        <v>-1.7263652378156198</v>
      </c>
      <c r="W34" s="329"/>
      <c r="X34" s="90">
        <v>1</v>
      </c>
      <c r="Y34" s="90" t="s">
        <v>63</v>
      </c>
      <c r="Z34" s="88" t="s">
        <v>32</v>
      </c>
      <c r="AA34" s="90" t="s">
        <v>48</v>
      </c>
    </row>
    <row r="35" spans="1:53" ht="18.75" customHeight="1" x14ac:dyDescent="0.2">
      <c r="A35" s="90" t="s">
        <v>27</v>
      </c>
      <c r="B35" s="132" t="s">
        <v>77</v>
      </c>
      <c r="C35" s="88">
        <v>2020</v>
      </c>
      <c r="D35" s="152" t="s">
        <v>69</v>
      </c>
      <c r="E35" s="174" t="s">
        <v>70</v>
      </c>
      <c r="F35" s="88">
        <v>10</v>
      </c>
      <c r="G35" s="90">
        <v>29</v>
      </c>
      <c r="H35" s="90"/>
      <c r="I35" s="163">
        <v>4</v>
      </c>
      <c r="J35" s="155">
        <v>1.1000000000000001</v>
      </c>
      <c r="K35" s="88">
        <v>19</v>
      </c>
      <c r="L35" s="89">
        <v>1042</v>
      </c>
      <c r="M35" s="89"/>
      <c r="N35" s="163">
        <v>4.0999999999999996</v>
      </c>
      <c r="O35" s="155">
        <v>1</v>
      </c>
      <c r="P35" s="88">
        <v>19</v>
      </c>
      <c r="R35" s="157">
        <f t="shared" si="0"/>
        <v>9.5130298830898477E-2</v>
      </c>
      <c r="S35" s="90">
        <v>-1</v>
      </c>
      <c r="T35" s="174">
        <f t="shared" si="1"/>
        <v>-9.5130298830898477E-2</v>
      </c>
      <c r="U35" s="174">
        <f t="shared" si="2"/>
        <v>-9.3134558295984521E-2</v>
      </c>
      <c r="V35" s="174">
        <f t="shared" si="3"/>
        <v>-9.7902097902097557E-2</v>
      </c>
      <c r="W35" s="329"/>
      <c r="X35" s="90">
        <v>1</v>
      </c>
      <c r="Y35" s="90" t="s">
        <v>63</v>
      </c>
      <c r="Z35" s="88" t="s">
        <v>32</v>
      </c>
      <c r="AA35" s="90" t="s">
        <v>48</v>
      </c>
    </row>
    <row r="36" spans="1:53" ht="18.75" customHeight="1" x14ac:dyDescent="0.2">
      <c r="A36" s="90" t="s">
        <v>27</v>
      </c>
      <c r="B36" s="132" t="s">
        <v>77</v>
      </c>
      <c r="C36" s="88">
        <v>2020</v>
      </c>
      <c r="D36" s="152" t="s">
        <v>54</v>
      </c>
      <c r="E36" s="90" t="s">
        <v>71</v>
      </c>
      <c r="F36" s="88">
        <v>10</v>
      </c>
      <c r="G36" s="90">
        <v>30</v>
      </c>
      <c r="H36" s="90"/>
      <c r="I36" s="163">
        <v>7</v>
      </c>
      <c r="J36" s="155">
        <v>3.1</v>
      </c>
      <c r="K36" s="88">
        <v>19</v>
      </c>
      <c r="L36" s="89">
        <v>1042</v>
      </c>
      <c r="M36" s="89"/>
      <c r="N36" s="163">
        <v>7.8</v>
      </c>
      <c r="O36" s="155">
        <v>3.3</v>
      </c>
      <c r="P36" s="88">
        <v>19</v>
      </c>
      <c r="R36" s="157">
        <f t="shared" si="0"/>
        <v>0.24987801902176965</v>
      </c>
      <c r="S36" s="90">
        <v>1</v>
      </c>
      <c r="T36" s="174">
        <f t="shared" si="1"/>
        <v>0.24987801902176965</v>
      </c>
      <c r="U36" s="174">
        <f t="shared" si="2"/>
        <v>0.24463582281851576</v>
      </c>
      <c r="V36" s="174">
        <f t="shared" si="3"/>
        <v>0.23733841915660095</v>
      </c>
      <c r="W36" s="329"/>
      <c r="X36" s="90">
        <v>1</v>
      </c>
      <c r="Y36" s="90" t="s">
        <v>63</v>
      </c>
      <c r="Z36" s="88" t="s">
        <v>32</v>
      </c>
      <c r="AA36" s="90" t="s">
        <v>48</v>
      </c>
    </row>
    <row r="37" spans="1:53" ht="18.75" customHeight="1" x14ac:dyDescent="0.2">
      <c r="A37" s="90" t="s">
        <v>27</v>
      </c>
      <c r="B37" s="90" t="s">
        <v>76</v>
      </c>
      <c r="C37" s="88">
        <v>1996</v>
      </c>
      <c r="D37" s="152" t="s">
        <v>675</v>
      </c>
      <c r="F37" s="90">
        <v>11</v>
      </c>
      <c r="G37" s="90">
        <v>31</v>
      </c>
      <c r="H37" s="90"/>
      <c r="I37" s="164">
        <v>4.4000000000000004</v>
      </c>
      <c r="J37" s="155">
        <v>1.71</v>
      </c>
      <c r="K37" s="88">
        <v>11</v>
      </c>
      <c r="L37" s="165">
        <v>1545</v>
      </c>
      <c r="M37" s="165"/>
      <c r="N37" s="163">
        <v>5.59</v>
      </c>
      <c r="O37" s="155">
        <v>1.33</v>
      </c>
      <c r="P37" s="88">
        <v>22</v>
      </c>
      <c r="Q37" s="90"/>
      <c r="R37" s="157">
        <f t="shared" si="0"/>
        <v>0.77684912716398946</v>
      </c>
      <c r="S37" s="90">
        <v>-1</v>
      </c>
      <c r="T37" s="174">
        <f t="shared" si="1"/>
        <v>-0.81317373496962264</v>
      </c>
      <c r="U37" s="174">
        <f t="shared" si="2"/>
        <v>-0.79334022923865621</v>
      </c>
      <c r="V37" s="174">
        <f t="shared" si="3"/>
        <v>-0.8729139922978173</v>
      </c>
      <c r="W37" s="329"/>
      <c r="X37" s="334" t="s">
        <v>75</v>
      </c>
      <c r="Y37" s="334" t="s">
        <v>75</v>
      </c>
      <c r="Z37" s="334" t="s">
        <v>75</v>
      </c>
      <c r="AA37" s="334" t="s">
        <v>75</v>
      </c>
    </row>
    <row r="38" spans="1:53" ht="18.75" customHeight="1" x14ac:dyDescent="0.2">
      <c r="A38" s="90" t="s">
        <v>27</v>
      </c>
      <c r="B38" s="90" t="s">
        <v>76</v>
      </c>
      <c r="C38" s="88">
        <v>1996</v>
      </c>
      <c r="D38" s="152" t="s">
        <v>54</v>
      </c>
      <c r="F38" s="90">
        <v>11</v>
      </c>
      <c r="G38" s="90">
        <v>32</v>
      </c>
      <c r="H38" s="90"/>
      <c r="I38" s="163">
        <v>23</v>
      </c>
      <c r="J38" s="155">
        <v>10.1</v>
      </c>
      <c r="K38" s="88">
        <v>11</v>
      </c>
      <c r="L38" s="165">
        <v>1545</v>
      </c>
      <c r="M38" s="165"/>
      <c r="N38" s="163">
        <v>9.68</v>
      </c>
      <c r="O38" s="155">
        <v>8.23</v>
      </c>
      <c r="P38" s="88">
        <v>22</v>
      </c>
      <c r="Q38" s="90"/>
      <c r="R38" s="157">
        <f t="shared" si="0"/>
        <v>-1.4458505809451692</v>
      </c>
      <c r="S38" s="90">
        <v>1</v>
      </c>
      <c r="T38" s="174">
        <f t="shared" si="1"/>
        <v>-1.5006126202727954</v>
      </c>
      <c r="U38" s="174">
        <f t="shared" si="2"/>
        <v>-1.4640123124612638</v>
      </c>
      <c r="V38" s="174">
        <f t="shared" si="3"/>
        <v>-1.5789941617520671</v>
      </c>
      <c r="W38" s="329"/>
      <c r="X38" s="334" t="s">
        <v>75</v>
      </c>
      <c r="Y38" s="334" t="s">
        <v>75</v>
      </c>
      <c r="Z38" s="334" t="s">
        <v>75</v>
      </c>
      <c r="AA38" s="334" t="s">
        <v>75</v>
      </c>
    </row>
    <row r="39" spans="1:53" ht="18.75" customHeight="1" x14ac:dyDescent="0.2">
      <c r="A39" s="90" t="s">
        <v>27</v>
      </c>
      <c r="B39" s="90" t="s">
        <v>73</v>
      </c>
      <c r="C39" s="88">
        <v>1996</v>
      </c>
      <c r="D39" s="152" t="s">
        <v>675</v>
      </c>
      <c r="F39" s="90">
        <v>12</v>
      </c>
      <c r="G39" s="90">
        <v>33</v>
      </c>
      <c r="H39" s="90"/>
      <c r="I39" s="164">
        <v>6</v>
      </c>
      <c r="J39" s="155">
        <v>0</v>
      </c>
      <c r="K39" s="88">
        <v>11</v>
      </c>
      <c r="L39" s="165">
        <v>566</v>
      </c>
      <c r="M39" s="165"/>
      <c r="N39" s="163">
        <v>5.59</v>
      </c>
      <c r="O39" s="155">
        <v>1.33</v>
      </c>
      <c r="P39" s="88">
        <v>22</v>
      </c>
      <c r="Q39" s="90"/>
      <c r="R39" s="157">
        <f t="shared" si="0"/>
        <v>-0.43596057185937531</v>
      </c>
      <c r="S39" s="90">
        <v>-1</v>
      </c>
      <c r="T39" s="174">
        <f t="shared" si="1"/>
        <v>0.37454449245191274</v>
      </c>
      <c r="U39" s="174">
        <f t="shared" si="2"/>
        <v>0.36540926092869536</v>
      </c>
      <c r="V39" s="174">
        <f t="shared" si="3"/>
        <v>0.30075187969924821</v>
      </c>
      <c r="W39" s="329"/>
      <c r="X39" s="334" t="s">
        <v>75</v>
      </c>
      <c r="Y39" s="334" t="s">
        <v>75</v>
      </c>
      <c r="Z39" s="334" t="s">
        <v>75</v>
      </c>
      <c r="AA39" s="334" t="s">
        <v>75</v>
      </c>
    </row>
    <row r="40" spans="1:53" ht="18.75" customHeight="1" x14ac:dyDescent="0.2">
      <c r="A40" s="90" t="s">
        <v>27</v>
      </c>
      <c r="B40" s="90" t="s">
        <v>73</v>
      </c>
      <c r="C40" s="88">
        <v>1996</v>
      </c>
      <c r="D40" s="152" t="s">
        <v>54</v>
      </c>
      <c r="F40" s="90">
        <v>12</v>
      </c>
      <c r="G40" s="90">
        <v>34</v>
      </c>
      <c r="H40" s="90"/>
      <c r="I40" s="164">
        <v>7.6</v>
      </c>
      <c r="J40" s="155">
        <v>4.29</v>
      </c>
      <c r="K40" s="88">
        <v>11</v>
      </c>
      <c r="L40" s="165">
        <v>566</v>
      </c>
      <c r="M40" s="165"/>
      <c r="N40" s="163">
        <v>9.68</v>
      </c>
      <c r="O40" s="155">
        <v>8.23</v>
      </c>
      <c r="P40" s="88">
        <v>22</v>
      </c>
      <c r="Q40" s="90"/>
      <c r="R40" s="157">
        <f t="shared" si="0"/>
        <v>0.31694467663120451</v>
      </c>
      <c r="S40" s="90">
        <v>1</v>
      </c>
      <c r="T40" s="174">
        <f t="shared" si="1"/>
        <v>0.28894356182945941</v>
      </c>
      <c r="U40" s="174">
        <f t="shared" si="2"/>
        <v>0.28189615788239941</v>
      </c>
      <c r="V40" s="174">
        <f t="shared" si="3"/>
        <v>0.24656965889221466</v>
      </c>
      <c r="W40" s="329"/>
      <c r="X40" s="334" t="s">
        <v>75</v>
      </c>
      <c r="Y40" s="334" t="s">
        <v>75</v>
      </c>
      <c r="Z40" s="334" t="s">
        <v>75</v>
      </c>
      <c r="AA40" s="334" t="s">
        <v>75</v>
      </c>
    </row>
    <row r="41" spans="1:53" ht="18.75" customHeight="1" x14ac:dyDescent="0.2">
      <c r="A41" s="90" t="s">
        <v>27</v>
      </c>
      <c r="B41" s="88" t="s">
        <v>78</v>
      </c>
      <c r="C41" s="88">
        <v>2020</v>
      </c>
      <c r="D41" s="152" t="s">
        <v>79</v>
      </c>
      <c r="F41" s="88">
        <v>13</v>
      </c>
      <c r="G41" s="90">
        <v>35</v>
      </c>
      <c r="H41" s="90"/>
      <c r="I41" s="163">
        <v>60.4</v>
      </c>
      <c r="J41" s="155">
        <f>(217-43)/4</f>
        <v>43.5</v>
      </c>
      <c r="K41" s="88">
        <v>16</v>
      </c>
      <c r="L41" s="154">
        <v>926.2</v>
      </c>
      <c r="M41" s="154"/>
      <c r="N41" s="163">
        <v>53.25</v>
      </c>
      <c r="O41" s="155">
        <f>(65-35.5)/4</f>
        <v>7.375</v>
      </c>
      <c r="P41" s="88">
        <v>17</v>
      </c>
      <c r="R41" s="157">
        <f t="shared" si="0"/>
        <v>-0.22918075634604099</v>
      </c>
      <c r="S41" s="90">
        <v>1</v>
      </c>
      <c r="T41" s="174">
        <f t="shared" si="1"/>
        <v>-0.23275244948551113</v>
      </c>
      <c r="U41" s="174">
        <f t="shared" si="2"/>
        <v>-0.22707556047366939</v>
      </c>
      <c r="V41" s="174">
        <f t="shared" si="3"/>
        <v>-0.94584539065729623</v>
      </c>
      <c r="X41" s="88">
        <v>4</v>
      </c>
      <c r="Y41" s="88" t="s">
        <v>80</v>
      </c>
      <c r="Z41" s="334" t="s">
        <v>75</v>
      </c>
      <c r="AA41" s="88" t="s">
        <v>81</v>
      </c>
    </row>
    <row r="42" spans="1:53" ht="18.75" customHeight="1" x14ac:dyDescent="0.2">
      <c r="A42" s="90"/>
      <c r="B42" s="90"/>
      <c r="D42" s="152"/>
      <c r="E42" s="174"/>
      <c r="F42" s="173">
        <v>14</v>
      </c>
      <c r="G42" s="173">
        <v>35</v>
      </c>
      <c r="H42" s="173"/>
      <c r="I42" s="163"/>
      <c r="J42" s="155">
        <f ca="1">AVERAGE(J7:J218)</f>
        <v>13.030312500000001</v>
      </c>
      <c r="K42" s="337">
        <f>SUM(K7,K11,K12,K15,K19,K21,K27,K37,K39,K41,K218)</f>
        <v>385</v>
      </c>
      <c r="L42" s="338">
        <f>AVERAGE(L7,L11,L12,L15,L19,L21,L27,L37,L39,L41,L218)</f>
        <v>926.84699999999998</v>
      </c>
      <c r="M42" s="338"/>
      <c r="N42" s="216"/>
      <c r="O42" s="155">
        <f ca="1">AVERAGE(O7:O218)</f>
        <v>7.7313136574074095</v>
      </c>
      <c r="P42" s="337">
        <f>SUM(P7,P11,P12,P15,P19,P21,P27,P37,P39,P41,P218)</f>
        <v>342</v>
      </c>
      <c r="Q42" s="90"/>
      <c r="S42" s="90"/>
      <c r="T42" s="189">
        <f ca="1">AVERAGE(T7:T218)</f>
        <v>-0.46571935703934253</v>
      </c>
      <c r="U42" s="189">
        <f ca="1">AVERAGE(U7:U218)</f>
        <v>-0.45676162059138187</v>
      </c>
      <c r="V42" s="189">
        <f xml:space="preserve"> AVERAGE(V21:V41,V7:V19)</f>
        <v>-0.62213748733432062</v>
      </c>
      <c r="Z42" s="156"/>
      <c r="AA42" s="90"/>
    </row>
    <row r="43" spans="1:53" ht="18.75" customHeight="1" x14ac:dyDescent="0.2">
      <c r="A43" s="90"/>
      <c r="B43" s="90"/>
      <c r="D43" s="221"/>
      <c r="E43" s="174"/>
      <c r="F43" s="90"/>
      <c r="G43" s="90"/>
      <c r="H43" s="90"/>
      <c r="I43" s="163"/>
      <c r="J43" s="155"/>
      <c r="L43" s="175"/>
      <c r="M43" s="175"/>
      <c r="N43" s="163"/>
      <c r="O43" s="155"/>
      <c r="Q43" s="90"/>
      <c r="R43" s="157"/>
      <c r="S43" s="90"/>
      <c r="T43" s="197">
        <f ca="1">STDEV(T7:T218)</f>
        <v>0.4996881801887908</v>
      </c>
      <c r="U43" s="197">
        <f ca="1">STDEV(U7:U218)</f>
        <v>0.4898428999197218</v>
      </c>
      <c r="V43" s="189">
        <f>STDEV(V21:V41,V8:V20)</f>
        <v>0.9185739344909879</v>
      </c>
      <c r="Z43" s="156"/>
      <c r="AA43" s="90"/>
    </row>
    <row r="44" spans="1:53" ht="18.75" customHeight="1" x14ac:dyDescent="0.2">
      <c r="A44" s="90" t="s">
        <v>86</v>
      </c>
      <c r="B44" s="90" t="s">
        <v>28</v>
      </c>
      <c r="C44" s="88">
        <v>2004</v>
      </c>
      <c r="D44" s="152" t="s">
        <v>93</v>
      </c>
      <c r="E44" s="174" t="s">
        <v>94</v>
      </c>
      <c r="F44" s="90">
        <v>1</v>
      </c>
      <c r="G44" s="90">
        <v>1</v>
      </c>
      <c r="H44" s="90"/>
      <c r="I44" s="164">
        <v>6.95</v>
      </c>
      <c r="J44" s="199">
        <v>1.67</v>
      </c>
      <c r="K44" s="90">
        <v>20</v>
      </c>
      <c r="L44" s="89">
        <v>858.5</v>
      </c>
      <c r="M44" s="89"/>
      <c r="N44" s="164">
        <v>7.15</v>
      </c>
      <c r="O44" s="199">
        <v>1.1399999999999999</v>
      </c>
      <c r="P44" s="90">
        <v>20</v>
      </c>
      <c r="Q44" s="90"/>
      <c r="R44" s="157">
        <f t="shared" ref="R44:R49" si="4">(N44-I44)/SQRT((O44^2+J44^2)/2)</f>
        <v>0.13988237340926069</v>
      </c>
      <c r="S44" s="90">
        <v>-1</v>
      </c>
      <c r="T44" s="174">
        <f t="shared" ref="T44:T49" si="5">(N44-I44)/SQRT((((P44-1)*O44^2) + ((K44-1)*J44^2))/(P44+K44-2))*S44</f>
        <v>-0.13988237340926069</v>
      </c>
      <c r="U44" s="174">
        <f t="shared" ref="U44:U49" si="6">T44*(1-(3/(4*(K44+P44-2) -1)))</f>
        <v>-0.1371032534077522</v>
      </c>
      <c r="V44" s="174">
        <f t="shared" ref="V44:V49" si="7">((N44-I44)/O44)*S44 * (1-(3/(4*(K44+P44-2)-1)))</f>
        <v>-0.17195306146160119</v>
      </c>
      <c r="W44" s="329">
        <f>V50-(V51*2.5)</f>
        <v>-5.943907323202045</v>
      </c>
      <c r="X44" s="90">
        <v>2</v>
      </c>
      <c r="Y44" s="90" t="s">
        <v>31</v>
      </c>
      <c r="Z44" s="88" t="s">
        <v>32</v>
      </c>
      <c r="AA44" s="90" t="s">
        <v>31</v>
      </c>
      <c r="AQ44" s="88" t="s">
        <v>95</v>
      </c>
      <c r="AR44" s="88" t="s">
        <v>95</v>
      </c>
      <c r="AS44" s="88" t="s">
        <v>96</v>
      </c>
    </row>
    <row r="45" spans="1:53" ht="18.75" customHeight="1" x14ac:dyDescent="0.2">
      <c r="A45" s="90" t="s">
        <v>86</v>
      </c>
      <c r="B45" s="90" t="s">
        <v>28</v>
      </c>
      <c r="C45" s="88">
        <v>2004</v>
      </c>
      <c r="D45" s="152" t="s">
        <v>97</v>
      </c>
      <c r="E45" s="174" t="s">
        <v>98</v>
      </c>
      <c r="F45" s="90">
        <v>1</v>
      </c>
      <c r="G45" s="90">
        <v>2</v>
      </c>
      <c r="H45" s="90"/>
      <c r="I45" s="164">
        <v>0.54</v>
      </c>
      <c r="J45" s="199">
        <v>0.11</v>
      </c>
      <c r="K45" s="90">
        <v>20</v>
      </c>
      <c r="L45" s="89">
        <v>858.5</v>
      </c>
      <c r="M45" s="89"/>
      <c r="N45" s="164">
        <v>0.56999999999999995</v>
      </c>
      <c r="O45" s="199">
        <v>7.0000000000000007E-2</v>
      </c>
      <c r="P45" s="90">
        <v>20</v>
      </c>
      <c r="Q45" s="90"/>
      <c r="R45" s="157">
        <f t="shared" si="4"/>
        <v>0.32539568672798336</v>
      </c>
      <c r="S45" s="90">
        <v>-1</v>
      </c>
      <c r="T45" s="174">
        <f t="shared" si="5"/>
        <v>-0.32539568672798336</v>
      </c>
      <c r="U45" s="174">
        <f t="shared" si="6"/>
        <v>-0.31893087175987772</v>
      </c>
      <c r="V45" s="174">
        <f t="shared" si="7"/>
        <v>-0.42005676442762413</v>
      </c>
      <c r="X45" s="90">
        <v>2</v>
      </c>
      <c r="Y45" s="90" t="s">
        <v>31</v>
      </c>
      <c r="Z45" s="88" t="s">
        <v>32</v>
      </c>
      <c r="AA45" s="90" t="s">
        <v>31</v>
      </c>
    </row>
    <row r="46" spans="1:53" ht="18.75" customHeight="1" x14ac:dyDescent="0.2">
      <c r="A46" s="90" t="s">
        <v>86</v>
      </c>
      <c r="B46" s="90" t="s">
        <v>53</v>
      </c>
      <c r="C46" s="88">
        <v>2015</v>
      </c>
      <c r="D46" s="152" t="s">
        <v>87</v>
      </c>
      <c r="E46" s="174" t="s">
        <v>88</v>
      </c>
      <c r="F46" s="90">
        <v>2</v>
      </c>
      <c r="G46" s="90">
        <v>3</v>
      </c>
      <c r="H46" s="90"/>
      <c r="I46" s="164">
        <v>98.14</v>
      </c>
      <c r="J46" s="199">
        <v>13.04</v>
      </c>
      <c r="K46" s="90">
        <v>14</v>
      </c>
      <c r="L46" s="89" t="s">
        <v>44</v>
      </c>
      <c r="M46" s="89"/>
      <c r="N46" s="164">
        <v>100.86</v>
      </c>
      <c r="O46" s="199">
        <v>8.8000000000000007</v>
      </c>
      <c r="P46" s="90">
        <v>14</v>
      </c>
      <c r="Q46" s="90"/>
      <c r="R46" s="157">
        <f t="shared" si="4"/>
        <v>0.24451890614322794</v>
      </c>
      <c r="S46" s="90">
        <v>-1</v>
      </c>
      <c r="T46" s="174">
        <f t="shared" si="5"/>
        <v>-0.24451890614322794</v>
      </c>
      <c r="U46" s="174">
        <f t="shared" si="6"/>
        <v>-0.2373969962555611</v>
      </c>
      <c r="V46" s="174">
        <f t="shared" si="7"/>
        <v>-0.30008826125330962</v>
      </c>
      <c r="X46" s="334">
        <v>3</v>
      </c>
      <c r="Y46" s="334" t="s">
        <v>57</v>
      </c>
      <c r="Z46" s="88" t="s">
        <v>32</v>
      </c>
      <c r="AA46" s="334" t="s">
        <v>57</v>
      </c>
      <c r="BA46" s="88" t="s">
        <v>89</v>
      </c>
    </row>
    <row r="47" spans="1:53" ht="18.75" customHeight="1" x14ac:dyDescent="0.2">
      <c r="A47" s="90" t="s">
        <v>86</v>
      </c>
      <c r="B47" s="90" t="s">
        <v>53</v>
      </c>
      <c r="C47" s="88">
        <v>2015</v>
      </c>
      <c r="D47" s="152" t="s">
        <v>90</v>
      </c>
      <c r="E47" s="174" t="s">
        <v>91</v>
      </c>
      <c r="F47" s="90">
        <v>2</v>
      </c>
      <c r="G47" s="90">
        <v>4</v>
      </c>
      <c r="H47" s="90"/>
      <c r="I47" s="164">
        <v>86.86</v>
      </c>
      <c r="J47" s="199">
        <v>23.1</v>
      </c>
      <c r="K47" s="90">
        <v>14</v>
      </c>
      <c r="L47" s="89" t="s">
        <v>44</v>
      </c>
      <c r="M47" s="89"/>
      <c r="N47" s="164">
        <v>108.29</v>
      </c>
      <c r="O47" s="199">
        <v>4.3600000000000003</v>
      </c>
      <c r="P47" s="90">
        <v>14</v>
      </c>
      <c r="Q47" s="90"/>
      <c r="R47" s="157">
        <f t="shared" si="4"/>
        <v>1.2892110723796886</v>
      </c>
      <c r="S47" s="90">
        <v>-1</v>
      </c>
      <c r="T47" s="174">
        <f t="shared" si="5"/>
        <v>-1.2892110723796886</v>
      </c>
      <c r="U47" s="174">
        <f t="shared" si="6"/>
        <v>-1.251661235320086</v>
      </c>
      <c r="V47" s="174">
        <f t="shared" si="7"/>
        <v>-4.771978266678544</v>
      </c>
      <c r="X47" s="334">
        <v>3</v>
      </c>
      <c r="Y47" s="334" t="s">
        <v>57</v>
      </c>
      <c r="Z47" s="88" t="s">
        <v>32</v>
      </c>
      <c r="AA47" s="334" t="s">
        <v>57</v>
      </c>
      <c r="AQ47" s="88" t="s">
        <v>92</v>
      </c>
      <c r="AR47" s="88" t="s">
        <v>92</v>
      </c>
    </row>
    <row r="48" spans="1:53" ht="18.75" customHeight="1" x14ac:dyDescent="0.2">
      <c r="A48" s="90" t="s">
        <v>86</v>
      </c>
      <c r="B48" s="90" t="s">
        <v>60</v>
      </c>
      <c r="C48" s="88">
        <v>2017</v>
      </c>
      <c r="D48" s="152" t="s">
        <v>99</v>
      </c>
      <c r="E48" s="174" t="s">
        <v>100</v>
      </c>
      <c r="F48" s="90">
        <v>3</v>
      </c>
      <c r="G48" s="90">
        <v>5</v>
      </c>
      <c r="H48" s="90"/>
      <c r="I48" s="164">
        <v>20.6</v>
      </c>
      <c r="J48" s="199">
        <v>28.2</v>
      </c>
      <c r="K48" s="90">
        <v>37</v>
      </c>
      <c r="L48" s="89">
        <v>720</v>
      </c>
      <c r="M48" s="89"/>
      <c r="N48" s="164">
        <v>2.9</v>
      </c>
      <c r="O48" s="199">
        <v>7.9</v>
      </c>
      <c r="P48" s="90">
        <v>30</v>
      </c>
      <c r="Q48" s="90"/>
      <c r="R48" s="157">
        <f t="shared" si="4"/>
        <v>-0.85473840530477174</v>
      </c>
      <c r="S48" s="90">
        <v>1</v>
      </c>
      <c r="T48" s="174">
        <f t="shared" si="5"/>
        <v>-0.81793370980908064</v>
      </c>
      <c r="U48" s="174">
        <f t="shared" si="6"/>
        <v>-0.80845957417422643</v>
      </c>
      <c r="V48" s="174">
        <f t="shared" si="7"/>
        <v>-2.2145545183519872</v>
      </c>
      <c r="X48" s="90">
        <v>1</v>
      </c>
      <c r="Y48" s="90" t="s">
        <v>63</v>
      </c>
      <c r="Z48" s="88" t="s">
        <v>32</v>
      </c>
      <c r="AA48" s="90" t="s">
        <v>48</v>
      </c>
    </row>
    <row r="49" spans="1:27" ht="18.75" customHeight="1" x14ac:dyDescent="0.2">
      <c r="A49" s="90" t="s">
        <v>86</v>
      </c>
      <c r="B49" s="90" t="s">
        <v>509</v>
      </c>
      <c r="C49" s="88">
        <v>2021</v>
      </c>
      <c r="D49" s="152" t="s">
        <v>87</v>
      </c>
      <c r="E49" s="174"/>
      <c r="F49" s="90">
        <v>4</v>
      </c>
      <c r="G49" s="90">
        <v>6</v>
      </c>
      <c r="H49" s="90"/>
      <c r="I49" s="164">
        <v>16</v>
      </c>
      <c r="J49" s="199">
        <v>3.2</v>
      </c>
      <c r="K49" s="90">
        <v>19</v>
      </c>
      <c r="L49" s="89">
        <v>890</v>
      </c>
      <c r="M49" s="89"/>
      <c r="N49" s="164">
        <v>18</v>
      </c>
      <c r="O49" s="199">
        <v>1.57</v>
      </c>
      <c r="P49" s="90">
        <v>25</v>
      </c>
      <c r="Q49" s="90"/>
      <c r="R49" s="157">
        <f t="shared" si="4"/>
        <v>0.79352272374003208</v>
      </c>
      <c r="S49" s="90">
        <v>-1</v>
      </c>
      <c r="T49" s="174">
        <f t="shared" si="5"/>
        <v>-0.83066351362162649</v>
      </c>
      <c r="U49" s="174">
        <f t="shared" si="6"/>
        <v>-0.81574141457453142</v>
      </c>
      <c r="V49" s="174">
        <f t="shared" si="7"/>
        <v>-1.2510011823486784</v>
      </c>
      <c r="AA49" s="90"/>
    </row>
    <row r="50" spans="1:27" ht="18.75" customHeight="1" x14ac:dyDescent="0.2">
      <c r="A50" s="90"/>
      <c r="B50" s="90"/>
      <c r="D50" s="152"/>
      <c r="E50" s="174"/>
      <c r="F50" s="173">
        <v>4</v>
      </c>
      <c r="G50" s="173">
        <v>6</v>
      </c>
      <c r="H50" s="90"/>
      <c r="I50" s="164"/>
      <c r="J50" s="155">
        <f>AVERAGE(J44:J49)</f>
        <v>11.553333333333335</v>
      </c>
      <c r="K50" s="338">
        <f>SUM(K48,K47,K45,K49)</f>
        <v>90</v>
      </c>
      <c r="L50" s="338">
        <f>AVERAGE(L48,L47,L45,L49)</f>
        <v>822.83333333333337</v>
      </c>
      <c r="M50" s="338"/>
      <c r="N50" s="339"/>
      <c r="O50" s="155">
        <f>AVERAGE(O44:O49)</f>
        <v>3.973333333333334</v>
      </c>
      <c r="P50" s="338">
        <f>SUM(P48,P47,P45,P49)</f>
        <v>89</v>
      </c>
      <c r="Q50" s="90"/>
      <c r="R50" s="157"/>
      <c r="S50" s="90"/>
      <c r="T50" s="189">
        <f>AVERAGE(T44:T49)</f>
        <v>-0.60793421034847794</v>
      </c>
      <c r="U50" s="189">
        <f>AVERAGE(U44:U49)</f>
        <v>-0.59488222424867254</v>
      </c>
      <c r="V50" s="189">
        <f>AVERAGE(V44:V49)</f>
        <v>-1.5216053424202907</v>
      </c>
      <c r="AA50" s="90"/>
    </row>
    <row r="51" spans="1:27" ht="18.75" customHeight="1" x14ac:dyDescent="0.2">
      <c r="A51" s="90"/>
      <c r="B51" s="90"/>
      <c r="D51" s="221"/>
      <c r="E51" s="174"/>
      <c r="F51" s="90"/>
      <c r="G51" s="90"/>
      <c r="H51" s="90"/>
      <c r="I51" s="163"/>
      <c r="J51" s="155"/>
      <c r="K51" s="90"/>
      <c r="L51" s="89"/>
      <c r="M51" s="89"/>
      <c r="N51" s="163"/>
      <c r="O51" s="155"/>
      <c r="P51" s="90"/>
      <c r="Q51" s="90"/>
      <c r="R51" s="157"/>
      <c r="S51" s="90"/>
      <c r="T51" s="197">
        <f>STDEV(T44:T49)</f>
        <v>0.44470608670710998</v>
      </c>
      <c r="U51" s="197">
        <f t="shared" ref="U51:V51" si="8">STDEV(U44:U49)</f>
        <v>0.43341877187182709</v>
      </c>
      <c r="V51" s="197">
        <f t="shared" si="8"/>
        <v>1.7689207923127019</v>
      </c>
      <c r="AA51" s="90"/>
    </row>
    <row r="52" spans="1:27" ht="18.75" customHeight="1" x14ac:dyDescent="0.2">
      <c r="A52" s="90" t="s">
        <v>101</v>
      </c>
      <c r="B52" s="90" t="s">
        <v>28</v>
      </c>
      <c r="C52" s="88">
        <v>2004</v>
      </c>
      <c r="D52" s="152" t="s">
        <v>125</v>
      </c>
      <c r="E52" s="90" t="s">
        <v>126</v>
      </c>
      <c r="F52" s="90">
        <v>1</v>
      </c>
      <c r="G52" s="90">
        <v>1</v>
      </c>
      <c r="H52" s="90"/>
      <c r="I52" s="163">
        <v>0.56999999999999995</v>
      </c>
      <c r="J52" s="155">
        <v>0.32</v>
      </c>
      <c r="K52" s="88">
        <v>20</v>
      </c>
      <c r="L52" s="89">
        <v>858.5</v>
      </c>
      <c r="M52" s="89"/>
      <c r="N52" s="163">
        <v>0.75</v>
      </c>
      <c r="O52" s="155">
        <v>0.53</v>
      </c>
      <c r="P52" s="88">
        <v>20</v>
      </c>
      <c r="R52" s="157">
        <f t="shared" ref="R52:R70" si="9">(N52-I52)/SQRT((O52^2+J52^2)/2)</f>
        <v>0.4111668505267474</v>
      </c>
      <c r="S52" s="90">
        <v>-1</v>
      </c>
      <c r="T52" s="174">
        <f t="shared" ref="T52:T70" si="10">(N52-I52)/SQRT((((P52-1)*O52^2) + ((K52-1)*J52^2))/(P52+K52-2))*S52</f>
        <v>-0.4111668505267474</v>
      </c>
      <c r="U52" s="174">
        <f t="shared" ref="U52:U70" si="11">T52*(1-(3/(4*(K52+P52-2) -1)))</f>
        <v>-0.40299797270171267</v>
      </c>
      <c r="V52" s="174">
        <f t="shared" ref="V52:V70" si="12">((N52-I52)/O52)*S52 * (1-(3/(4*(K52+P52-2)-1)))</f>
        <v>-0.33287517181057114</v>
      </c>
      <c r="W52" s="340">
        <f>V71-((AVERAGE(V52:V70))*2.5)</f>
        <v>0.17472772645386206</v>
      </c>
      <c r="X52" s="90">
        <v>2</v>
      </c>
      <c r="Y52" s="90" t="s">
        <v>31</v>
      </c>
      <c r="Z52" s="88" t="s">
        <v>32</v>
      </c>
      <c r="AA52" s="90" t="s">
        <v>31</v>
      </c>
    </row>
    <row r="53" spans="1:27" ht="18.75" customHeight="1" x14ac:dyDescent="0.2">
      <c r="A53" s="90" t="s">
        <v>101</v>
      </c>
      <c r="B53" s="90" t="s">
        <v>115</v>
      </c>
      <c r="C53" s="88">
        <v>2005</v>
      </c>
      <c r="D53" s="152" t="s">
        <v>116</v>
      </c>
      <c r="E53" s="90" t="s">
        <v>117</v>
      </c>
      <c r="F53" s="90">
        <v>2</v>
      </c>
      <c r="G53" s="90">
        <v>2</v>
      </c>
      <c r="H53" s="90"/>
      <c r="I53" s="220">
        <v>1.7</v>
      </c>
      <c r="J53" s="155">
        <f>SQRT((1.03/SQRT(25))^2 + (3.41/SQRT(25))^2)</f>
        <v>0.71243245293852253</v>
      </c>
      <c r="K53" s="220">
        <v>25</v>
      </c>
      <c r="L53" s="89">
        <v>758.79</v>
      </c>
      <c r="M53" s="341"/>
      <c r="N53" s="220">
        <v>1.9</v>
      </c>
      <c r="O53" s="155">
        <f>SQRT((1.91/SQRT(25))^2 + (2.861/SQRT(25))^2)</f>
        <v>0.68799479649195028</v>
      </c>
      <c r="P53" s="154">
        <v>25</v>
      </c>
      <c r="R53" s="157">
        <f t="shared" si="9"/>
        <v>0.28558364068272346</v>
      </c>
      <c r="S53" s="90">
        <v>1</v>
      </c>
      <c r="T53" s="174">
        <f t="shared" si="10"/>
        <v>0.28558364068272346</v>
      </c>
      <c r="U53" s="174">
        <f t="shared" si="11"/>
        <v>0.28109803376100528</v>
      </c>
      <c r="V53" s="174">
        <f t="shared" si="12"/>
        <v>0.28613390645863518</v>
      </c>
      <c r="X53" s="90">
        <v>2</v>
      </c>
      <c r="Y53" s="90" t="s">
        <v>31</v>
      </c>
      <c r="Z53" s="88" t="s">
        <v>32</v>
      </c>
      <c r="AA53" s="90" t="s">
        <v>31</v>
      </c>
    </row>
    <row r="54" spans="1:27" ht="18.75" customHeight="1" x14ac:dyDescent="0.2">
      <c r="A54" s="90" t="s">
        <v>101</v>
      </c>
      <c r="B54" s="90" t="s">
        <v>115</v>
      </c>
      <c r="C54" s="88">
        <v>2005</v>
      </c>
      <c r="D54" s="152" t="s">
        <v>118</v>
      </c>
      <c r="E54" s="90" t="s">
        <v>119</v>
      </c>
      <c r="F54" s="90">
        <v>2</v>
      </c>
      <c r="G54" s="90">
        <v>3</v>
      </c>
      <c r="H54" s="90"/>
      <c r="I54" s="220">
        <v>0.02</v>
      </c>
      <c r="J54" s="155">
        <f>SQRT((0.06/SQRT(25))^2 + (0.05/SQRT(25))^2)</f>
        <v>1.5620499351813309E-2</v>
      </c>
      <c r="K54" s="220">
        <v>25</v>
      </c>
      <c r="L54" s="89">
        <v>758.79</v>
      </c>
      <c r="M54" s="341"/>
      <c r="N54" s="220">
        <v>0.03</v>
      </c>
      <c r="O54" s="155">
        <f>SQRT((0.04/SQRT(25))^2 + (0.05/SQRT(25))^2)</f>
        <v>1.2806248474865698E-2</v>
      </c>
      <c r="P54" s="154">
        <v>25</v>
      </c>
      <c r="R54" s="157">
        <f t="shared" si="9"/>
        <v>0.7001400420140047</v>
      </c>
      <c r="S54" s="90">
        <v>1</v>
      </c>
      <c r="T54" s="174">
        <f t="shared" si="10"/>
        <v>0.70014004201400482</v>
      </c>
      <c r="U54" s="174">
        <f t="shared" si="11"/>
        <v>0.68914307800331365</v>
      </c>
      <c r="V54" s="174">
        <f t="shared" si="12"/>
        <v>0.7686038543208884</v>
      </c>
      <c r="X54" s="90">
        <v>2</v>
      </c>
      <c r="Y54" s="90" t="s">
        <v>31</v>
      </c>
      <c r="Z54" s="88" t="s">
        <v>32</v>
      </c>
      <c r="AA54" s="90" t="s">
        <v>31</v>
      </c>
    </row>
    <row r="55" spans="1:27" ht="18.75" customHeight="1" x14ac:dyDescent="0.2">
      <c r="A55" s="90" t="s">
        <v>101</v>
      </c>
      <c r="B55" s="90" t="s">
        <v>120</v>
      </c>
      <c r="C55" s="88">
        <v>2007</v>
      </c>
      <c r="D55" s="152" t="s">
        <v>121</v>
      </c>
      <c r="E55" s="90" t="s">
        <v>122</v>
      </c>
      <c r="F55" s="90">
        <v>3</v>
      </c>
      <c r="G55" s="90">
        <v>4</v>
      </c>
      <c r="H55" s="90"/>
      <c r="I55" s="342">
        <v>0.95</v>
      </c>
      <c r="J55" s="155">
        <v>0.55000000000000004</v>
      </c>
      <c r="K55" s="88">
        <v>25</v>
      </c>
      <c r="L55" s="89">
        <v>1285.68</v>
      </c>
      <c r="M55" s="89"/>
      <c r="N55" s="342">
        <v>2.06</v>
      </c>
      <c r="O55" s="155">
        <v>0.48</v>
      </c>
      <c r="P55" s="88">
        <v>45</v>
      </c>
      <c r="R55" s="157">
        <f t="shared" si="9"/>
        <v>2.1503795263481309</v>
      </c>
      <c r="S55" s="90">
        <v>1</v>
      </c>
      <c r="T55" s="174">
        <f t="shared" si="10"/>
        <v>2.194485746614788</v>
      </c>
      <c r="U55" s="174">
        <f t="shared" si="11"/>
        <v>2.1701925464677609</v>
      </c>
      <c r="V55" s="336">
        <f t="shared" si="12"/>
        <v>2.2869003690036904</v>
      </c>
      <c r="X55" s="90">
        <v>2</v>
      </c>
      <c r="Y55" s="90" t="s">
        <v>31</v>
      </c>
      <c r="Z55" s="88" t="s">
        <v>32</v>
      </c>
      <c r="AA55" s="90" t="s">
        <v>31</v>
      </c>
    </row>
    <row r="56" spans="1:27" ht="18.75" customHeight="1" x14ac:dyDescent="0.2">
      <c r="A56" s="90" t="s">
        <v>101</v>
      </c>
      <c r="B56" s="90" t="s">
        <v>120</v>
      </c>
      <c r="C56" s="88">
        <v>2007</v>
      </c>
      <c r="D56" s="152" t="s">
        <v>123</v>
      </c>
      <c r="E56" s="90" t="s">
        <v>124</v>
      </c>
      <c r="F56" s="90">
        <v>3</v>
      </c>
      <c r="G56" s="90">
        <v>5</v>
      </c>
      <c r="H56" s="90"/>
      <c r="I56" s="342">
        <v>0.03</v>
      </c>
      <c r="J56" s="155">
        <v>2.1000000000000001E-2</v>
      </c>
      <c r="K56" s="88">
        <v>25</v>
      </c>
      <c r="L56" s="89">
        <v>1286.68</v>
      </c>
      <c r="M56" s="89"/>
      <c r="N56" s="342">
        <v>0.03</v>
      </c>
      <c r="O56" s="155">
        <v>1.2999999999999999E-2</v>
      </c>
      <c r="P56" s="88">
        <v>45</v>
      </c>
      <c r="R56" s="157">
        <f t="shared" si="9"/>
        <v>0</v>
      </c>
      <c r="S56" s="90">
        <v>1</v>
      </c>
      <c r="T56" s="174">
        <f t="shared" si="10"/>
        <v>0</v>
      </c>
      <c r="U56" s="174">
        <f t="shared" si="11"/>
        <v>0</v>
      </c>
      <c r="V56" s="174">
        <f t="shared" si="12"/>
        <v>0</v>
      </c>
      <c r="X56" s="90">
        <v>2</v>
      </c>
      <c r="Y56" s="90" t="s">
        <v>31</v>
      </c>
      <c r="Z56" s="88" t="s">
        <v>32</v>
      </c>
      <c r="AA56" s="90" t="s">
        <v>31</v>
      </c>
    </row>
    <row r="57" spans="1:27" ht="18.75" customHeight="1" x14ac:dyDescent="0.2">
      <c r="A57" s="90" t="s">
        <v>101</v>
      </c>
      <c r="B57" s="90" t="s">
        <v>127</v>
      </c>
      <c r="C57" s="88">
        <v>2018</v>
      </c>
      <c r="D57" s="152" t="s">
        <v>128</v>
      </c>
      <c r="E57" s="90" t="s">
        <v>129</v>
      </c>
      <c r="F57" s="90">
        <v>4</v>
      </c>
      <c r="G57" s="90">
        <v>6</v>
      </c>
      <c r="H57" s="90"/>
      <c r="I57" s="163">
        <v>1.5</v>
      </c>
      <c r="J57" s="155">
        <v>2</v>
      </c>
      <c r="K57" s="88">
        <v>15</v>
      </c>
      <c r="L57" s="89">
        <v>751.2</v>
      </c>
      <c r="M57" s="89"/>
      <c r="N57" s="163">
        <v>1</v>
      </c>
      <c r="O57" s="155">
        <v>1.8</v>
      </c>
      <c r="P57" s="88">
        <v>24</v>
      </c>
      <c r="R57" s="157">
        <f t="shared" si="9"/>
        <v>-0.26279416561381835</v>
      </c>
      <c r="S57" s="90">
        <v>1</v>
      </c>
      <c r="T57" s="174">
        <f t="shared" si="10"/>
        <v>-0.26621488443561131</v>
      </c>
      <c r="U57" s="174">
        <f t="shared" si="11"/>
        <v>-0.26078192761039476</v>
      </c>
      <c r="V57" s="174">
        <f t="shared" si="12"/>
        <v>-0.27210884353741499</v>
      </c>
      <c r="X57" s="90">
        <v>1</v>
      </c>
      <c r="Y57" s="90" t="s">
        <v>63</v>
      </c>
      <c r="Z57" s="88" t="s">
        <v>32</v>
      </c>
      <c r="AA57" s="90" t="s">
        <v>48</v>
      </c>
    </row>
    <row r="58" spans="1:27" ht="18.75" customHeight="1" x14ac:dyDescent="0.2">
      <c r="A58" s="90" t="s">
        <v>101</v>
      </c>
      <c r="B58" s="90" t="s">
        <v>127</v>
      </c>
      <c r="C58" s="88">
        <v>2018</v>
      </c>
      <c r="D58" s="152" t="s">
        <v>130</v>
      </c>
      <c r="E58" s="90" t="s">
        <v>131</v>
      </c>
      <c r="F58" s="90">
        <v>4</v>
      </c>
      <c r="G58" s="90">
        <v>7</v>
      </c>
      <c r="H58" s="90"/>
      <c r="I58" s="163">
        <v>0.7</v>
      </c>
      <c r="J58" s="155">
        <v>1.4</v>
      </c>
      <c r="K58" s="88">
        <v>15</v>
      </c>
      <c r="L58" s="89">
        <v>751.2</v>
      </c>
      <c r="M58" s="89"/>
      <c r="N58" s="163">
        <v>1.3</v>
      </c>
      <c r="O58" s="155">
        <v>2</v>
      </c>
      <c r="P58" s="88">
        <v>24</v>
      </c>
      <c r="R58" s="157">
        <f t="shared" si="9"/>
        <v>0.34757066781809542</v>
      </c>
      <c r="S58" s="90">
        <v>1</v>
      </c>
      <c r="T58" s="174">
        <f t="shared" si="10"/>
        <v>0.33394674525605611</v>
      </c>
      <c r="U58" s="174">
        <f t="shared" si="11"/>
        <v>0.32713150555695292</v>
      </c>
      <c r="V58" s="174">
        <f t="shared" si="12"/>
        <v>0.29387755102040819</v>
      </c>
      <c r="X58" s="90">
        <v>1</v>
      </c>
      <c r="Y58" s="90" t="s">
        <v>63</v>
      </c>
      <c r="Z58" s="88" t="s">
        <v>32</v>
      </c>
      <c r="AA58" s="90" t="s">
        <v>48</v>
      </c>
    </row>
    <row r="59" spans="1:27" ht="18.75" customHeight="1" x14ac:dyDescent="0.2">
      <c r="A59" s="90" t="s">
        <v>101</v>
      </c>
      <c r="B59" s="90" t="s">
        <v>127</v>
      </c>
      <c r="C59" s="88">
        <v>2018</v>
      </c>
      <c r="D59" s="152" t="s">
        <v>132</v>
      </c>
      <c r="E59" s="90" t="s">
        <v>133</v>
      </c>
      <c r="F59" s="90">
        <v>4</v>
      </c>
      <c r="G59" s="90">
        <v>8</v>
      </c>
      <c r="H59" s="89"/>
      <c r="I59" s="163">
        <v>85.9</v>
      </c>
      <c r="J59" s="155">
        <v>16.7</v>
      </c>
      <c r="K59" s="88">
        <v>15</v>
      </c>
      <c r="L59" s="89">
        <v>751.2</v>
      </c>
      <c r="M59" s="89"/>
      <c r="N59" s="163">
        <v>75.7</v>
      </c>
      <c r="O59" s="155">
        <v>19.2</v>
      </c>
      <c r="P59" s="88">
        <v>24</v>
      </c>
      <c r="R59" s="157">
        <f t="shared" si="9"/>
        <v>-0.56687228263993794</v>
      </c>
      <c r="S59" s="90">
        <v>1</v>
      </c>
      <c r="T59" s="174">
        <f t="shared" si="10"/>
        <v>-0.55755143881517988</v>
      </c>
      <c r="U59" s="174">
        <f t="shared" si="11"/>
        <v>-0.54617283802303329</v>
      </c>
      <c r="V59" s="174">
        <f t="shared" si="12"/>
        <v>-0.52040816326530637</v>
      </c>
      <c r="X59" s="90">
        <v>1</v>
      </c>
      <c r="Y59" s="90" t="s">
        <v>63</v>
      </c>
      <c r="Z59" s="88" t="s">
        <v>32</v>
      </c>
      <c r="AA59" s="90" t="s">
        <v>48</v>
      </c>
    </row>
    <row r="60" spans="1:27" ht="18" customHeight="1" x14ac:dyDescent="0.2">
      <c r="A60" s="90" t="s">
        <v>101</v>
      </c>
      <c r="B60" s="88" t="s">
        <v>141</v>
      </c>
      <c r="C60" s="88">
        <v>2006</v>
      </c>
      <c r="D60" s="152" t="s">
        <v>142</v>
      </c>
      <c r="F60" s="88">
        <v>5</v>
      </c>
      <c r="G60" s="90">
        <v>9</v>
      </c>
      <c r="H60" s="90"/>
      <c r="I60" s="163">
        <v>316</v>
      </c>
      <c r="J60" s="155">
        <f>(330-282)/1.35</f>
        <v>35.55555555555555</v>
      </c>
      <c r="K60" s="88">
        <v>9</v>
      </c>
      <c r="L60" s="165">
        <v>1000</v>
      </c>
      <c r="M60" s="165"/>
      <c r="N60" s="163">
        <v>284</v>
      </c>
      <c r="O60" s="155">
        <f>(300-279)/1.35</f>
        <v>15.555555555555555</v>
      </c>
      <c r="P60" s="88">
        <v>9</v>
      </c>
      <c r="R60" s="157">
        <f t="shared" si="9"/>
        <v>-1.1660779154576393</v>
      </c>
      <c r="S60" s="90">
        <v>1</v>
      </c>
      <c r="T60" s="174">
        <f t="shared" si="10"/>
        <v>-1.1660779154576393</v>
      </c>
      <c r="U60" s="174">
        <f t="shared" si="11"/>
        <v>-1.1105503956739422</v>
      </c>
      <c r="V60" s="174">
        <f t="shared" si="12"/>
        <v>-1.9591836734693879</v>
      </c>
      <c r="X60" s="156" t="s">
        <v>75</v>
      </c>
      <c r="Y60" s="88"/>
      <c r="Z60" s="88" t="s">
        <v>32</v>
      </c>
      <c r="AA60" s="90" t="s">
        <v>143</v>
      </c>
    </row>
    <row r="61" spans="1:27" ht="18.75" customHeight="1" x14ac:dyDescent="0.2">
      <c r="A61" s="90" t="s">
        <v>101</v>
      </c>
      <c r="B61" s="88" t="s">
        <v>41</v>
      </c>
      <c r="C61" s="88">
        <v>2006</v>
      </c>
      <c r="D61" s="152" t="s">
        <v>144</v>
      </c>
      <c r="E61" s="90" t="s">
        <v>145</v>
      </c>
      <c r="F61" s="88">
        <v>7</v>
      </c>
      <c r="G61" s="90">
        <v>10</v>
      </c>
      <c r="H61" s="90"/>
      <c r="I61" s="163">
        <v>33.299999999999997</v>
      </c>
      <c r="J61" s="155">
        <f>(44-22)/1.35</f>
        <v>16.296296296296294</v>
      </c>
      <c r="K61" s="88">
        <v>9</v>
      </c>
      <c r="L61" s="165" t="s">
        <v>44</v>
      </c>
      <c r="M61" s="165"/>
      <c r="N61" s="163">
        <v>19.2</v>
      </c>
      <c r="O61" s="155">
        <f>(30-16)/1.35</f>
        <v>10.37037037037037</v>
      </c>
      <c r="P61" s="88">
        <v>9</v>
      </c>
      <c r="R61" s="157">
        <f t="shared" si="9"/>
        <v>-1.0323178161445299</v>
      </c>
      <c r="S61" s="90">
        <v>1</v>
      </c>
      <c r="T61" s="174">
        <f t="shared" si="10"/>
        <v>-1.0323178161445299</v>
      </c>
      <c r="U61" s="174">
        <f t="shared" si="11"/>
        <v>-0.98315982489955223</v>
      </c>
      <c r="V61" s="174">
        <f t="shared" si="12"/>
        <v>-1.2948979591836731</v>
      </c>
      <c r="X61" s="88">
        <v>1</v>
      </c>
      <c r="Y61" s="88"/>
      <c r="Z61" s="88" t="s">
        <v>32</v>
      </c>
      <c r="AA61" s="90" t="s">
        <v>48</v>
      </c>
    </row>
    <row r="62" spans="1:27" ht="18.75" customHeight="1" x14ac:dyDescent="0.2">
      <c r="A62" s="90" t="s">
        <v>101</v>
      </c>
      <c r="B62" s="90" t="s">
        <v>60</v>
      </c>
      <c r="C62" s="88">
        <v>2017</v>
      </c>
      <c r="D62" s="152" t="s">
        <v>102</v>
      </c>
      <c r="E62" s="90" t="s">
        <v>103</v>
      </c>
      <c r="F62" s="90">
        <v>8</v>
      </c>
      <c r="G62" s="90">
        <v>11</v>
      </c>
      <c r="H62" s="90"/>
      <c r="I62" s="163">
        <v>0.5</v>
      </c>
      <c r="J62" s="155">
        <v>1.1000000000000001</v>
      </c>
      <c r="K62" s="88">
        <v>37</v>
      </c>
      <c r="L62" s="89">
        <v>720</v>
      </c>
      <c r="M62" s="89"/>
      <c r="N62" s="163">
        <v>0.8</v>
      </c>
      <c r="O62" s="155">
        <v>1</v>
      </c>
      <c r="P62" s="88">
        <v>30</v>
      </c>
      <c r="R62" s="157">
        <f t="shared" si="9"/>
        <v>0.2853908964926965</v>
      </c>
      <c r="S62" s="90">
        <v>1</v>
      </c>
      <c r="T62" s="174">
        <f t="shared" si="10"/>
        <v>0.2839417770341558</v>
      </c>
      <c r="U62" s="174">
        <f t="shared" si="11"/>
        <v>0.28065287614186829</v>
      </c>
      <c r="V62" s="174">
        <f t="shared" si="12"/>
        <v>0.29652509652509657</v>
      </c>
      <c r="X62" s="90">
        <v>1</v>
      </c>
      <c r="Y62" s="90" t="s">
        <v>63</v>
      </c>
      <c r="Z62" s="88" t="s">
        <v>32</v>
      </c>
      <c r="AA62" s="90" t="s">
        <v>48</v>
      </c>
    </row>
    <row r="63" spans="1:27" ht="18.75" customHeight="1" x14ac:dyDescent="0.2">
      <c r="A63" s="90" t="s">
        <v>101</v>
      </c>
      <c r="B63" s="90" t="s">
        <v>60</v>
      </c>
      <c r="C63" s="88">
        <v>2017</v>
      </c>
      <c r="D63" s="152" t="s">
        <v>104</v>
      </c>
      <c r="E63" s="90" t="s">
        <v>105</v>
      </c>
      <c r="F63" s="90">
        <v>8</v>
      </c>
      <c r="G63" s="90">
        <v>12</v>
      </c>
      <c r="H63" s="90"/>
      <c r="I63" s="163">
        <v>111.3</v>
      </c>
      <c r="J63" s="155">
        <v>86.7</v>
      </c>
      <c r="K63" s="88">
        <v>37</v>
      </c>
      <c r="L63" s="89">
        <v>720</v>
      </c>
      <c r="M63" s="89"/>
      <c r="N63" s="163">
        <v>94.3</v>
      </c>
      <c r="O63" s="155">
        <v>51.9</v>
      </c>
      <c r="P63" s="88">
        <v>30</v>
      </c>
      <c r="R63" s="157">
        <f t="shared" si="9"/>
        <v>-0.23792518429246062</v>
      </c>
      <c r="S63" s="90">
        <v>1</v>
      </c>
      <c r="T63" s="174">
        <f t="shared" si="10"/>
        <v>-0.23209483280355711</v>
      </c>
      <c r="U63" s="174">
        <f t="shared" si="11"/>
        <v>-0.22940647566683639</v>
      </c>
      <c r="V63" s="174">
        <f t="shared" si="12"/>
        <v>-0.32375893647569948</v>
      </c>
      <c r="X63" s="90">
        <v>1</v>
      </c>
      <c r="Y63" s="90" t="s">
        <v>63</v>
      </c>
      <c r="Z63" s="88" t="s">
        <v>32</v>
      </c>
      <c r="AA63" s="90" t="s">
        <v>48</v>
      </c>
    </row>
    <row r="64" spans="1:27" ht="18.75" customHeight="1" x14ac:dyDescent="0.2">
      <c r="A64" s="90" t="s">
        <v>101</v>
      </c>
      <c r="B64" s="90" t="s">
        <v>60</v>
      </c>
      <c r="C64" s="88">
        <v>2017</v>
      </c>
      <c r="D64" s="152" t="s">
        <v>134</v>
      </c>
      <c r="E64" s="90" t="s">
        <v>135</v>
      </c>
      <c r="F64" s="90">
        <v>8</v>
      </c>
      <c r="G64" s="90">
        <v>13</v>
      </c>
      <c r="H64" s="90"/>
      <c r="I64" s="163">
        <v>1.3</v>
      </c>
      <c r="J64" s="155">
        <v>2</v>
      </c>
      <c r="K64" s="88">
        <v>37</v>
      </c>
      <c r="L64" s="89">
        <v>720</v>
      </c>
      <c r="M64" s="89"/>
      <c r="N64" s="163">
        <v>1.1000000000000001</v>
      </c>
      <c r="O64" s="155">
        <v>1.6</v>
      </c>
      <c r="P64" s="88">
        <v>30</v>
      </c>
      <c r="R64" s="157">
        <f t="shared" si="9"/>
        <v>-0.11043152607484651</v>
      </c>
      <c r="S64" s="90">
        <v>1</v>
      </c>
      <c r="T64" s="174">
        <f t="shared" si="10"/>
        <v>-0.10914893373767046</v>
      </c>
      <c r="U64" s="174">
        <f t="shared" si="11"/>
        <v>-0.10788466037391366</v>
      </c>
      <c r="V64" s="174">
        <f t="shared" si="12"/>
        <v>-0.12355212355212353</v>
      </c>
      <c r="X64" s="90">
        <v>1</v>
      </c>
      <c r="Y64" s="90" t="s">
        <v>63</v>
      </c>
      <c r="Z64" s="88" t="s">
        <v>32</v>
      </c>
      <c r="AA64" s="90" t="s">
        <v>48</v>
      </c>
    </row>
    <row r="65" spans="1:27" ht="18.75" customHeight="1" x14ac:dyDescent="0.2">
      <c r="A65" s="90" t="s">
        <v>101</v>
      </c>
      <c r="B65" s="90" t="s">
        <v>60</v>
      </c>
      <c r="C65" s="88">
        <v>2017</v>
      </c>
      <c r="D65" s="152" t="s">
        <v>136</v>
      </c>
      <c r="E65" s="90" t="s">
        <v>137</v>
      </c>
      <c r="F65" s="90">
        <v>8</v>
      </c>
      <c r="G65" s="90">
        <v>14</v>
      </c>
      <c r="H65" s="90"/>
      <c r="I65" s="163">
        <v>173</v>
      </c>
      <c r="J65" s="155">
        <v>94.6</v>
      </c>
      <c r="K65" s="88">
        <v>37</v>
      </c>
      <c r="L65" s="89">
        <v>720</v>
      </c>
      <c r="M65" s="89"/>
      <c r="N65" s="163">
        <v>145</v>
      </c>
      <c r="O65" s="155">
        <v>62.9</v>
      </c>
      <c r="P65" s="88">
        <v>30</v>
      </c>
      <c r="R65" s="157">
        <f t="shared" si="9"/>
        <v>-0.34856552736054808</v>
      </c>
      <c r="S65" s="90">
        <v>1</v>
      </c>
      <c r="T65" s="174">
        <f t="shared" si="10"/>
        <v>-0.34152372539457815</v>
      </c>
      <c r="U65" s="174">
        <f t="shared" si="11"/>
        <v>-0.33756785212745949</v>
      </c>
      <c r="V65" s="174">
        <f t="shared" si="12"/>
        <v>-0.43999484381042409</v>
      </c>
      <c r="X65" s="90">
        <v>1</v>
      </c>
      <c r="Y65" s="90" t="s">
        <v>63</v>
      </c>
      <c r="Z65" s="88" t="s">
        <v>32</v>
      </c>
      <c r="AA65" s="90" t="s">
        <v>48</v>
      </c>
    </row>
    <row r="66" spans="1:27" ht="18.75" customHeight="1" x14ac:dyDescent="0.2">
      <c r="A66" s="90" t="s">
        <v>101</v>
      </c>
      <c r="B66" s="88" t="s">
        <v>78</v>
      </c>
      <c r="C66" s="88">
        <v>2020</v>
      </c>
      <c r="D66" s="152" t="s">
        <v>139</v>
      </c>
      <c r="F66" s="88">
        <v>9</v>
      </c>
      <c r="G66" s="90">
        <v>15</v>
      </c>
      <c r="H66" s="90"/>
      <c r="I66" s="163">
        <v>471.1</v>
      </c>
      <c r="J66" s="155">
        <f>(598.4-418.5)/4</f>
        <v>44.974999999999994</v>
      </c>
      <c r="K66" s="88">
        <v>16</v>
      </c>
      <c r="L66" s="165">
        <v>926.2</v>
      </c>
      <c r="M66" s="165"/>
      <c r="N66" s="163">
        <v>448.58</v>
      </c>
      <c r="O66" s="155">
        <f>(690.9-400.26)/4</f>
        <v>72.66</v>
      </c>
      <c r="P66" s="88">
        <v>17</v>
      </c>
      <c r="R66" s="157">
        <f t="shared" si="9"/>
        <v>-0.37269686730625295</v>
      </c>
      <c r="S66" s="90">
        <v>1</v>
      </c>
      <c r="T66" s="174">
        <f t="shared" si="10"/>
        <v>-0.37004449555368679</v>
      </c>
      <c r="U66" s="174">
        <f t="shared" si="11"/>
        <v>-0.36101902005237735</v>
      </c>
      <c r="V66" s="174">
        <f t="shared" si="12"/>
        <v>-0.30237725994105574</v>
      </c>
      <c r="X66" s="88">
        <v>4</v>
      </c>
      <c r="Y66" s="88" t="s">
        <v>80</v>
      </c>
      <c r="Z66" s="156" t="s">
        <v>75</v>
      </c>
      <c r="AA66" s="88" t="s">
        <v>80</v>
      </c>
    </row>
    <row r="67" spans="1:27" ht="18.75" customHeight="1" x14ac:dyDescent="0.2">
      <c r="A67" s="90" t="s">
        <v>101</v>
      </c>
      <c r="B67" s="88" t="s">
        <v>78</v>
      </c>
      <c r="C67" s="88">
        <v>2020</v>
      </c>
      <c r="D67" s="152" t="s">
        <v>140</v>
      </c>
      <c r="F67" s="88">
        <v>9</v>
      </c>
      <c r="G67" s="90">
        <v>16</v>
      </c>
      <c r="H67" s="90"/>
      <c r="I67" s="163">
        <v>18.100000000000001</v>
      </c>
      <c r="J67" s="155">
        <v>13.4</v>
      </c>
      <c r="K67" s="88">
        <v>16</v>
      </c>
      <c r="L67" s="165">
        <v>926.2</v>
      </c>
      <c r="M67" s="165"/>
      <c r="N67" s="163">
        <v>10.1</v>
      </c>
      <c r="O67" s="155">
        <v>6.5</v>
      </c>
      <c r="P67" s="88">
        <v>17</v>
      </c>
      <c r="R67" s="157">
        <f t="shared" si="9"/>
        <v>-0.7596515422967951</v>
      </c>
      <c r="S67" s="90">
        <v>1</v>
      </c>
      <c r="T67" s="174">
        <f t="shared" si="10"/>
        <v>-0.76735185645777193</v>
      </c>
      <c r="U67" s="174">
        <f t="shared" si="11"/>
        <v>-0.74863595751977752</v>
      </c>
      <c r="V67" s="174">
        <f t="shared" si="12"/>
        <v>-1.2007504690431523</v>
      </c>
      <c r="X67" s="88">
        <v>4</v>
      </c>
      <c r="Y67" s="88" t="s">
        <v>80</v>
      </c>
      <c r="Z67" s="156" t="s">
        <v>75</v>
      </c>
      <c r="AA67" s="88" t="s">
        <v>80</v>
      </c>
    </row>
    <row r="68" spans="1:27" ht="18.75" customHeight="1" x14ac:dyDescent="0.2">
      <c r="A68" s="90" t="s">
        <v>101</v>
      </c>
      <c r="B68" s="90" t="s">
        <v>106</v>
      </c>
      <c r="C68" s="88">
        <v>2011</v>
      </c>
      <c r="D68" s="152" t="s">
        <v>107</v>
      </c>
      <c r="E68" s="90" t="s">
        <v>108</v>
      </c>
      <c r="F68" s="90">
        <v>10</v>
      </c>
      <c r="G68" s="90">
        <v>17</v>
      </c>
      <c r="H68" s="90"/>
      <c r="I68" s="163">
        <v>167</v>
      </c>
      <c r="J68" s="155">
        <v>81.3</v>
      </c>
      <c r="K68" s="88">
        <v>8</v>
      </c>
      <c r="L68" s="89">
        <v>1140</v>
      </c>
      <c r="M68" s="89"/>
      <c r="N68" s="163">
        <v>157.19999999999999</v>
      </c>
      <c r="O68" s="155">
        <v>80.900000000000006</v>
      </c>
      <c r="P68" s="88">
        <v>15</v>
      </c>
      <c r="R68" s="157">
        <f t="shared" si="9"/>
        <v>-0.12083810357911694</v>
      </c>
      <c r="S68" s="90">
        <v>1</v>
      </c>
      <c r="T68" s="174">
        <f t="shared" si="10"/>
        <v>-0.12093755821964521</v>
      </c>
      <c r="U68" s="174">
        <f t="shared" si="11"/>
        <v>-0.11656632117556165</v>
      </c>
      <c r="V68" s="174">
        <f t="shared" si="12"/>
        <v>-0.11675875318331434</v>
      </c>
      <c r="X68" s="90">
        <v>1</v>
      </c>
      <c r="Y68" s="90" t="s">
        <v>63</v>
      </c>
      <c r="Z68" s="90" t="s">
        <v>109</v>
      </c>
      <c r="AA68" s="90" t="s">
        <v>48</v>
      </c>
    </row>
    <row r="69" spans="1:27" ht="18.75" customHeight="1" x14ac:dyDescent="0.2">
      <c r="A69" s="90" t="s">
        <v>101</v>
      </c>
      <c r="B69" s="90" t="s">
        <v>110</v>
      </c>
      <c r="C69" s="88">
        <v>2011</v>
      </c>
      <c r="D69" s="152" t="s">
        <v>107</v>
      </c>
      <c r="E69" s="90" t="s">
        <v>111</v>
      </c>
      <c r="F69" s="90">
        <v>11</v>
      </c>
      <c r="G69" s="90">
        <v>18</v>
      </c>
      <c r="H69" s="90"/>
      <c r="I69" s="163">
        <v>121.5</v>
      </c>
      <c r="J69" s="155">
        <v>64</v>
      </c>
      <c r="K69" s="88">
        <v>9</v>
      </c>
      <c r="L69" s="89">
        <v>1210</v>
      </c>
      <c r="M69" s="89"/>
      <c r="N69" s="163">
        <v>124.1</v>
      </c>
      <c r="O69" s="155">
        <v>98.6</v>
      </c>
      <c r="P69" s="88">
        <v>15</v>
      </c>
      <c r="R69" s="157">
        <f t="shared" si="9"/>
        <v>3.1279973771031075E-2</v>
      </c>
      <c r="S69" s="90">
        <v>1</v>
      </c>
      <c r="T69" s="174">
        <f t="shared" si="10"/>
        <v>2.9675732086079119E-2</v>
      </c>
      <c r="U69" s="174">
        <f t="shared" si="11"/>
        <v>2.8652430979662601E-2</v>
      </c>
      <c r="V69" s="174">
        <f t="shared" si="12"/>
        <v>2.5459886689515231E-2</v>
      </c>
      <c r="X69" s="90">
        <v>1</v>
      </c>
      <c r="Y69" s="90" t="s">
        <v>63</v>
      </c>
      <c r="Z69" s="90" t="s">
        <v>109</v>
      </c>
      <c r="AA69" s="90" t="s">
        <v>48</v>
      </c>
    </row>
    <row r="70" spans="1:27" ht="18.75" customHeight="1" x14ac:dyDescent="0.2">
      <c r="A70" s="90" t="s">
        <v>101</v>
      </c>
      <c r="B70" s="187" t="s">
        <v>112</v>
      </c>
      <c r="C70" s="88">
        <v>1996</v>
      </c>
      <c r="D70" s="152" t="s">
        <v>113</v>
      </c>
      <c r="E70" s="153" t="s">
        <v>632</v>
      </c>
      <c r="F70" s="88">
        <v>12</v>
      </c>
      <c r="G70" s="90">
        <v>19</v>
      </c>
      <c r="H70" s="90"/>
      <c r="I70" s="163">
        <v>52.3</v>
      </c>
      <c r="J70" s="155">
        <v>8.14</v>
      </c>
      <c r="K70" s="88">
        <v>8</v>
      </c>
      <c r="L70" s="89">
        <v>1253.0999999999999</v>
      </c>
      <c r="M70" s="89"/>
      <c r="N70" s="163">
        <v>54</v>
      </c>
      <c r="O70" s="155">
        <v>6.12</v>
      </c>
      <c r="P70" s="88">
        <v>8</v>
      </c>
      <c r="R70" s="157">
        <f t="shared" si="9"/>
        <v>0.23607240642412908</v>
      </c>
      <c r="S70" s="90">
        <v>1</v>
      </c>
      <c r="T70" s="174">
        <f t="shared" si="10"/>
        <v>0.23607240642412908</v>
      </c>
      <c r="U70" s="174">
        <f t="shared" si="11"/>
        <v>0.22319572971008567</v>
      </c>
      <c r="V70" s="174">
        <f t="shared" si="12"/>
        <v>0.26262626262626304</v>
      </c>
      <c r="X70" s="156" t="s">
        <v>75</v>
      </c>
      <c r="Y70" s="156" t="s">
        <v>75</v>
      </c>
      <c r="Z70" s="88" t="s">
        <v>32</v>
      </c>
      <c r="AA70" s="156" t="s">
        <v>75</v>
      </c>
    </row>
    <row r="71" spans="1:27" ht="18.75" customHeight="1" x14ac:dyDescent="0.2">
      <c r="A71" s="90"/>
      <c r="D71" s="152"/>
      <c r="F71" s="337">
        <v>12</v>
      </c>
      <c r="G71" s="173">
        <v>19</v>
      </c>
      <c r="H71" s="90"/>
      <c r="I71" s="163"/>
      <c r="J71" s="155">
        <f>AVERAGE(J52:J70)</f>
        <v>24.725573937060112</v>
      </c>
      <c r="K71" s="337">
        <f>SUM(K52,K53,K55,K57,K60,K62,K66,K68,K69,K70)</f>
        <v>172</v>
      </c>
      <c r="L71" s="338">
        <f>AVERAGE(L52,L53,L55,L57,L60,L62,L66,L68,L69,L70)</f>
        <v>990.34699999999998</v>
      </c>
      <c r="M71" s="338"/>
      <c r="N71" s="216"/>
      <c r="O71" s="155">
        <f>AVERAGE(O52:O70)</f>
        <v>22.780511945836462</v>
      </c>
      <c r="P71" s="337">
        <f>SUM(P52,P53,P55,P57,P60,P62,P66,P68,P69,P70)</f>
        <v>208</v>
      </c>
      <c r="R71" s="157"/>
      <c r="S71" s="90"/>
      <c r="T71" s="189">
        <f t="shared" ref="T71:U71" si="13">AVERAGE(T52:T70)</f>
        <v>-6.8978116707088463E-2</v>
      </c>
      <c r="U71" s="189">
        <f t="shared" si="13"/>
        <v>-6.3404055010732235E-2</v>
      </c>
      <c r="V71" s="189">
        <f>AVERAGE(V61:V70,V56:V59,V52:V54)</f>
        <v>-0.17613270389187816</v>
      </c>
      <c r="W71" s="88"/>
      <c r="X71" s="88"/>
      <c r="Y71" s="88"/>
      <c r="Z71" s="90"/>
    </row>
    <row r="72" spans="1:27" ht="18.75" customHeight="1" x14ac:dyDescent="0.2">
      <c r="A72" s="90"/>
      <c r="D72" s="221"/>
      <c r="G72" s="90"/>
      <c r="H72" s="90"/>
      <c r="I72" s="163"/>
      <c r="J72" s="155"/>
      <c r="L72" s="89"/>
      <c r="M72" s="89"/>
      <c r="N72" s="163"/>
      <c r="O72" s="155"/>
      <c r="R72" s="157"/>
      <c r="S72" s="90"/>
      <c r="T72" s="197">
        <f t="shared" ref="T72:U72" si="14">STDEV(T52:T70)</f>
        <v>0.72437298270427009</v>
      </c>
      <c r="U72" s="197">
        <f t="shared" si="14"/>
        <v>0.70847835433837059</v>
      </c>
      <c r="V72" s="189">
        <f>STDEV(V61:V71,V56:V59,V52:V54)</f>
        <v>0.50771293594997136</v>
      </c>
      <c r="AA72" s="90"/>
    </row>
    <row r="73" spans="1:27" ht="18.75" customHeight="1" x14ac:dyDescent="0.2">
      <c r="A73" s="90" t="s">
        <v>146</v>
      </c>
      <c r="B73" s="90" t="s">
        <v>147</v>
      </c>
      <c r="C73" s="88">
        <v>1997</v>
      </c>
      <c r="D73" s="152" t="s">
        <v>148</v>
      </c>
      <c r="E73" s="90" t="s">
        <v>149</v>
      </c>
      <c r="F73" s="90">
        <v>1</v>
      </c>
      <c r="G73" s="90">
        <v>1</v>
      </c>
      <c r="H73" s="90"/>
      <c r="I73" s="163">
        <v>8.6999999999999993</v>
      </c>
      <c r="J73" s="155">
        <v>1.3</v>
      </c>
      <c r="K73" s="88">
        <v>8</v>
      </c>
      <c r="L73" s="89">
        <v>870</v>
      </c>
      <c r="N73" s="163">
        <v>7.5</v>
      </c>
      <c r="O73" s="155">
        <v>0.8</v>
      </c>
      <c r="P73" s="88">
        <v>8</v>
      </c>
      <c r="R73" s="157">
        <f t="shared" ref="R73:R84" si="15">(N73-I73)/SQRT((O73^2+J73^2)/2)</f>
        <v>-1.1117785310689901</v>
      </c>
      <c r="S73" s="90">
        <v>1</v>
      </c>
      <c r="T73" s="174">
        <f t="shared" ref="T73:T84" si="16">(N73-I73)/SQRT((((P73-1)*O73^2) + ((K73-1)*J73^2))/(P73+K73-2))*S73</f>
        <v>-1.1117785310689901</v>
      </c>
      <c r="U73" s="174">
        <f t="shared" ref="U73:U84" si="17">T73*(1-(3/(4*(K73+P73-2) -1)))</f>
        <v>-1.0511360657379543</v>
      </c>
      <c r="V73" s="174">
        <f t="shared" ref="V73:V84" si="18">((N73-I73)/O73)*S73 * (1-(3/(4*(K73+P73-2)-1)))</f>
        <v>-1.4181818181818173</v>
      </c>
      <c r="W73" s="343">
        <f>V85-(V86*2)</f>
        <v>-3.5843826723672016</v>
      </c>
      <c r="X73" s="90">
        <v>4</v>
      </c>
      <c r="Y73" s="90" t="s">
        <v>150</v>
      </c>
      <c r="Z73" s="88" t="s">
        <v>151</v>
      </c>
      <c r="AA73" s="90" t="s">
        <v>150</v>
      </c>
    </row>
    <row r="74" spans="1:27" ht="18.75" customHeight="1" x14ac:dyDescent="0.2">
      <c r="A74" s="90" t="s">
        <v>146</v>
      </c>
      <c r="B74" s="90" t="s">
        <v>147</v>
      </c>
      <c r="C74" s="88">
        <v>1997</v>
      </c>
      <c r="D74" s="152" t="s">
        <v>152</v>
      </c>
      <c r="E74" s="90" t="s">
        <v>153</v>
      </c>
      <c r="F74" s="90">
        <v>1</v>
      </c>
      <c r="G74" s="90">
        <v>2</v>
      </c>
      <c r="H74" s="90"/>
      <c r="I74" s="163">
        <v>1</v>
      </c>
      <c r="J74" s="155">
        <v>0.3</v>
      </c>
      <c r="K74" s="88">
        <v>8</v>
      </c>
      <c r="L74" s="89">
        <v>870</v>
      </c>
      <c r="M74" s="89"/>
      <c r="N74" s="163">
        <v>0.7</v>
      </c>
      <c r="O74" s="155">
        <v>0.2</v>
      </c>
      <c r="P74" s="88">
        <v>8</v>
      </c>
      <c r="R74" s="157">
        <f t="shared" si="15"/>
        <v>-1.1766968108291043</v>
      </c>
      <c r="S74" s="90">
        <v>1</v>
      </c>
      <c r="T74" s="174">
        <f t="shared" si="16"/>
        <v>-1.1766968108291043</v>
      </c>
      <c r="U74" s="174">
        <f t="shared" si="17"/>
        <v>-1.1125133484202441</v>
      </c>
      <c r="V74" s="174">
        <f t="shared" si="18"/>
        <v>-1.4181818181818184</v>
      </c>
      <c r="X74" s="90">
        <v>4</v>
      </c>
      <c r="Y74" s="90" t="s">
        <v>150</v>
      </c>
      <c r="Z74" s="88" t="s">
        <v>151</v>
      </c>
      <c r="AA74" s="90" t="s">
        <v>150</v>
      </c>
    </row>
    <row r="75" spans="1:27" ht="18.75" customHeight="1" x14ac:dyDescent="0.2">
      <c r="A75" s="90" t="s">
        <v>146</v>
      </c>
      <c r="B75" s="90" t="s">
        <v>28</v>
      </c>
      <c r="C75" s="88">
        <v>2004</v>
      </c>
      <c r="D75" s="152" t="s">
        <v>167</v>
      </c>
      <c r="E75" s="90" t="s">
        <v>168</v>
      </c>
      <c r="F75" s="90">
        <v>2</v>
      </c>
      <c r="G75" s="90">
        <v>3</v>
      </c>
      <c r="H75" s="90"/>
      <c r="I75" s="163">
        <v>18.46</v>
      </c>
      <c r="J75" s="155">
        <v>4.88</v>
      </c>
      <c r="K75" s="88">
        <v>20</v>
      </c>
      <c r="L75" s="89">
        <v>858.5</v>
      </c>
      <c r="M75" s="89"/>
      <c r="N75" s="163">
        <v>22.78</v>
      </c>
      <c r="O75" s="155">
        <v>5.49</v>
      </c>
      <c r="P75" s="88">
        <v>20</v>
      </c>
      <c r="R75" s="157">
        <f t="shared" si="15"/>
        <v>0.83173486829623577</v>
      </c>
      <c r="S75" s="90">
        <v>-1</v>
      </c>
      <c r="T75" s="174">
        <f t="shared" si="16"/>
        <v>-0.83173486829623577</v>
      </c>
      <c r="U75" s="174">
        <f t="shared" si="17"/>
        <v>-0.8152103344890258</v>
      </c>
      <c r="V75" s="174">
        <f t="shared" si="18"/>
        <v>-0.7712517641949842</v>
      </c>
      <c r="X75" s="90">
        <v>2</v>
      </c>
      <c r="Y75" s="90" t="s">
        <v>31</v>
      </c>
      <c r="Z75" s="88" t="s">
        <v>32</v>
      </c>
      <c r="AA75" s="90" t="s">
        <v>31</v>
      </c>
    </row>
    <row r="76" spans="1:27" ht="18.75" customHeight="1" x14ac:dyDescent="0.2">
      <c r="A76" s="90" t="s">
        <v>146</v>
      </c>
      <c r="B76" s="90" t="s">
        <v>159</v>
      </c>
      <c r="C76" s="88">
        <v>2017</v>
      </c>
      <c r="D76" s="152" t="s">
        <v>160</v>
      </c>
      <c r="E76" s="90" t="s">
        <v>161</v>
      </c>
      <c r="F76" s="90">
        <v>3</v>
      </c>
      <c r="G76" s="90">
        <v>4</v>
      </c>
      <c r="H76" s="90"/>
      <c r="I76" s="329">
        <v>24.6</v>
      </c>
      <c r="J76" s="155">
        <v>14.7</v>
      </c>
      <c r="K76" s="88">
        <v>57</v>
      </c>
      <c r="L76" s="89">
        <v>655</v>
      </c>
      <c r="M76" s="89"/>
      <c r="N76" s="163">
        <v>17.3</v>
      </c>
      <c r="O76" s="155">
        <v>10.3</v>
      </c>
      <c r="P76" s="88">
        <v>57</v>
      </c>
      <c r="R76" s="157">
        <f t="shared" si="15"/>
        <v>-0.57515986004748754</v>
      </c>
      <c r="S76" s="90">
        <v>1</v>
      </c>
      <c r="T76" s="174">
        <f t="shared" si="16"/>
        <v>-0.57515986004748754</v>
      </c>
      <c r="U76" s="174">
        <f t="shared" si="17"/>
        <v>-0.57129972675857821</v>
      </c>
      <c r="V76" s="174">
        <f t="shared" si="18"/>
        <v>-0.70398123411741709</v>
      </c>
      <c r="X76" s="90">
        <v>1</v>
      </c>
      <c r="Y76" s="90" t="s">
        <v>63</v>
      </c>
      <c r="Z76" s="156" t="s">
        <v>44</v>
      </c>
      <c r="AA76" s="90" t="s">
        <v>48</v>
      </c>
    </row>
    <row r="77" spans="1:27" ht="18.75" customHeight="1" x14ac:dyDescent="0.2">
      <c r="A77" s="90" t="s">
        <v>146</v>
      </c>
      <c r="B77" s="90" t="s">
        <v>159</v>
      </c>
      <c r="C77" s="88">
        <v>2017</v>
      </c>
      <c r="D77" s="152" t="s">
        <v>162</v>
      </c>
      <c r="E77" s="90" t="s">
        <v>163</v>
      </c>
      <c r="F77" s="90">
        <v>3</v>
      </c>
      <c r="G77" s="90">
        <v>5</v>
      </c>
      <c r="H77" s="90"/>
      <c r="I77" s="163">
        <v>9.3000000000000007</v>
      </c>
      <c r="J77" s="155">
        <v>1.8</v>
      </c>
      <c r="K77" s="88">
        <v>57</v>
      </c>
      <c r="L77" s="89">
        <v>655</v>
      </c>
      <c r="M77" s="89"/>
      <c r="N77" s="163">
        <v>8.6999999999999993</v>
      </c>
      <c r="O77" s="155">
        <v>1.5</v>
      </c>
      <c r="P77" s="88">
        <v>57</v>
      </c>
      <c r="R77" s="157">
        <f t="shared" si="15"/>
        <v>-0.36214298417007496</v>
      </c>
      <c r="S77" s="90">
        <v>1</v>
      </c>
      <c r="T77" s="174">
        <f t="shared" si="16"/>
        <v>-0.36214298417007496</v>
      </c>
      <c r="U77" s="174">
        <f t="shared" si="17"/>
        <v>-0.35971249434343017</v>
      </c>
      <c r="V77" s="174">
        <f t="shared" si="18"/>
        <v>-0.3973154362416117</v>
      </c>
      <c r="X77" s="90">
        <v>1</v>
      </c>
      <c r="Y77" s="90" t="s">
        <v>63</v>
      </c>
      <c r="Z77" s="156" t="s">
        <v>44</v>
      </c>
      <c r="AA77" s="90" t="s">
        <v>48</v>
      </c>
    </row>
    <row r="78" spans="1:27" ht="18.75" customHeight="1" x14ac:dyDescent="0.2">
      <c r="A78" s="90" t="s">
        <v>146</v>
      </c>
      <c r="B78" s="90" t="s">
        <v>60</v>
      </c>
      <c r="C78" s="88">
        <v>2017</v>
      </c>
      <c r="D78" s="152" t="s">
        <v>169</v>
      </c>
      <c r="E78" s="90" t="s">
        <v>170</v>
      </c>
      <c r="F78" s="90">
        <v>4</v>
      </c>
      <c r="G78" s="90">
        <v>6</v>
      </c>
      <c r="H78" s="90"/>
      <c r="I78" s="163">
        <v>18.899999999999999</v>
      </c>
      <c r="J78" s="155">
        <v>11.3</v>
      </c>
      <c r="K78" s="88">
        <v>37</v>
      </c>
      <c r="L78" s="89">
        <v>720</v>
      </c>
      <c r="M78" s="89"/>
      <c r="N78" s="163">
        <v>13.3</v>
      </c>
      <c r="O78" s="155">
        <v>8.8000000000000007</v>
      </c>
      <c r="P78" s="88">
        <v>30</v>
      </c>
      <c r="R78" s="157">
        <f t="shared" si="15"/>
        <v>-0.55295327526239435</v>
      </c>
      <c r="S78" s="90">
        <v>1</v>
      </c>
      <c r="T78" s="174">
        <f t="shared" si="16"/>
        <v>-0.54580075086961954</v>
      </c>
      <c r="U78" s="174">
        <f t="shared" si="17"/>
        <v>-0.53947873445028038</v>
      </c>
      <c r="V78" s="174">
        <f t="shared" si="18"/>
        <v>-0.62899262899262864</v>
      </c>
      <c r="X78" s="90">
        <v>1</v>
      </c>
      <c r="Y78" s="90" t="s">
        <v>63</v>
      </c>
      <c r="Z78" s="88" t="s">
        <v>32</v>
      </c>
      <c r="AA78" s="90" t="s">
        <v>48</v>
      </c>
    </row>
    <row r="79" spans="1:27" ht="18.75" customHeight="1" x14ac:dyDescent="0.2">
      <c r="A79" s="90" t="s">
        <v>146</v>
      </c>
      <c r="B79" s="90" t="s">
        <v>509</v>
      </c>
      <c r="C79" s="88">
        <v>2021</v>
      </c>
      <c r="D79" s="152" t="s">
        <v>512</v>
      </c>
      <c r="E79" s="153" t="s">
        <v>513</v>
      </c>
      <c r="F79" s="88">
        <v>5</v>
      </c>
      <c r="G79" s="90">
        <v>7</v>
      </c>
      <c r="H79" s="90"/>
      <c r="I79" s="154">
        <v>144</v>
      </c>
      <c r="J79" s="155">
        <v>65.680000000000007</v>
      </c>
      <c r="K79" s="88">
        <v>19</v>
      </c>
      <c r="L79" s="89">
        <v>890</v>
      </c>
      <c r="M79" s="89"/>
      <c r="N79" s="154">
        <v>258</v>
      </c>
      <c r="O79" s="155">
        <v>27.51</v>
      </c>
      <c r="P79" s="88">
        <v>25</v>
      </c>
      <c r="R79" s="157">
        <f t="shared" si="15"/>
        <v>2.264057730480018</v>
      </c>
      <c r="S79" s="90">
        <v>-1</v>
      </c>
      <c r="T79" s="174">
        <f t="shared" si="16"/>
        <v>-2.3868102770226907</v>
      </c>
      <c r="U79" s="174">
        <f t="shared" si="17"/>
        <v>-2.3439334456989296</v>
      </c>
      <c r="V79" s="145">
        <f t="shared" si="18"/>
        <v>-4.0695054819477727</v>
      </c>
      <c r="X79" s="156">
        <v>2</v>
      </c>
      <c r="Y79" s="156"/>
      <c r="Z79" s="88" t="s">
        <v>32</v>
      </c>
      <c r="AA79" s="156"/>
    </row>
    <row r="80" spans="1:27" ht="18.75" customHeight="1" x14ac:dyDescent="0.2">
      <c r="A80" s="90" t="s">
        <v>146</v>
      </c>
      <c r="B80" s="88" t="s">
        <v>77</v>
      </c>
      <c r="C80" s="88">
        <v>2020</v>
      </c>
      <c r="D80" s="152" t="s">
        <v>169</v>
      </c>
      <c r="E80" s="90" t="s">
        <v>170</v>
      </c>
      <c r="F80" s="88">
        <v>6</v>
      </c>
      <c r="G80" s="90">
        <v>8</v>
      </c>
      <c r="H80" s="90"/>
      <c r="I80" s="163">
        <v>24.2</v>
      </c>
      <c r="J80" s="155">
        <v>12</v>
      </c>
      <c r="K80" s="88">
        <v>19</v>
      </c>
      <c r="L80" s="89">
        <v>1042</v>
      </c>
      <c r="M80" s="89"/>
      <c r="N80" s="163">
        <v>15.9</v>
      </c>
      <c r="O80" s="155">
        <v>9.6</v>
      </c>
      <c r="P80" s="88">
        <v>19</v>
      </c>
      <c r="R80" s="157">
        <f t="shared" si="15"/>
        <v>-0.76381805535102176</v>
      </c>
      <c r="S80" s="90">
        <v>1</v>
      </c>
      <c r="T80" s="174">
        <f t="shared" si="16"/>
        <v>-0.76381805535102176</v>
      </c>
      <c r="U80" s="174">
        <f t="shared" si="17"/>
        <v>-0.74779390034365767</v>
      </c>
      <c r="V80" s="174">
        <f t="shared" si="18"/>
        <v>-0.84644522144522139</v>
      </c>
      <c r="X80" s="90">
        <v>1</v>
      </c>
      <c r="Y80" s="90" t="s">
        <v>63</v>
      </c>
      <c r="Z80" s="156" t="s">
        <v>44</v>
      </c>
      <c r="AA80" s="90" t="s">
        <v>48</v>
      </c>
    </row>
    <row r="81" spans="1:28" ht="18.75" customHeight="1" x14ac:dyDescent="0.2">
      <c r="A81" s="90" t="s">
        <v>146</v>
      </c>
      <c r="B81" s="90" t="s">
        <v>154</v>
      </c>
      <c r="C81" s="88">
        <v>1994</v>
      </c>
      <c r="D81" s="152" t="s">
        <v>155</v>
      </c>
      <c r="E81" s="90" t="s">
        <v>156</v>
      </c>
      <c r="F81" s="90">
        <v>7</v>
      </c>
      <c r="G81" s="90">
        <v>9</v>
      </c>
      <c r="H81" s="90"/>
      <c r="I81" s="163">
        <v>51.9</v>
      </c>
      <c r="J81" s="155">
        <v>8.6999999999999993</v>
      </c>
      <c r="K81" s="88">
        <v>19</v>
      </c>
      <c r="L81" s="89">
        <v>1417</v>
      </c>
      <c r="M81" s="89"/>
      <c r="N81" s="163">
        <v>39.9</v>
      </c>
      <c r="O81" s="155">
        <v>6.6</v>
      </c>
      <c r="P81" s="88">
        <v>20</v>
      </c>
      <c r="R81" s="157">
        <f t="shared" si="15"/>
        <v>-1.5540573797716228</v>
      </c>
      <c r="S81" s="90">
        <v>1</v>
      </c>
      <c r="T81" s="174">
        <f t="shared" si="16"/>
        <v>-1.5597467935528373</v>
      </c>
      <c r="U81" s="174">
        <f t="shared" si="17"/>
        <v>-1.5279152263374733</v>
      </c>
      <c r="V81" s="174">
        <f t="shared" si="18"/>
        <v>-1.7810760667903527</v>
      </c>
      <c r="X81" s="156" t="s">
        <v>75</v>
      </c>
      <c r="Y81" s="90" t="s">
        <v>143</v>
      </c>
      <c r="Z81" s="156" t="s">
        <v>44</v>
      </c>
      <c r="AA81" s="90" t="s">
        <v>143</v>
      </c>
    </row>
    <row r="82" spans="1:28" ht="18.75" customHeight="1" x14ac:dyDescent="0.2">
      <c r="A82" s="90" t="s">
        <v>146</v>
      </c>
      <c r="B82" s="90" t="s">
        <v>154</v>
      </c>
      <c r="C82" s="88">
        <v>1994</v>
      </c>
      <c r="D82" s="152" t="s">
        <v>157</v>
      </c>
      <c r="E82" s="90" t="s">
        <v>158</v>
      </c>
      <c r="F82" s="90">
        <v>7</v>
      </c>
      <c r="G82" s="90">
        <v>10</v>
      </c>
      <c r="H82" s="90"/>
      <c r="I82" s="163">
        <v>1010</v>
      </c>
      <c r="J82" s="155">
        <v>1318</v>
      </c>
      <c r="K82" s="88">
        <v>19</v>
      </c>
      <c r="L82" s="89">
        <v>1417</v>
      </c>
      <c r="M82" s="89"/>
      <c r="N82" s="163">
        <v>729</v>
      </c>
      <c r="O82" s="155">
        <v>691</v>
      </c>
      <c r="P82" s="88">
        <v>20</v>
      </c>
      <c r="R82" s="157">
        <f t="shared" si="15"/>
        <v>-0.26703806949163555</v>
      </c>
      <c r="S82" s="90">
        <v>1</v>
      </c>
      <c r="T82" s="174">
        <f t="shared" si="16"/>
        <v>-0.2691145864946321</v>
      </c>
      <c r="U82" s="174">
        <f t="shared" si="17"/>
        <v>-0.2636224520763743</v>
      </c>
      <c r="V82" s="174">
        <f t="shared" si="18"/>
        <v>-0.39835789598038929</v>
      </c>
      <c r="X82" s="156" t="s">
        <v>75</v>
      </c>
      <c r="Y82" s="90" t="s">
        <v>143</v>
      </c>
      <c r="Z82" s="156" t="s">
        <v>44</v>
      </c>
      <c r="AA82" s="90" t="s">
        <v>143</v>
      </c>
      <c r="AB82" s="90"/>
    </row>
    <row r="83" spans="1:28" ht="18.75" customHeight="1" x14ac:dyDescent="0.2">
      <c r="A83" s="90" t="s">
        <v>146</v>
      </c>
      <c r="B83" s="187" t="s">
        <v>112</v>
      </c>
      <c r="C83" s="88">
        <v>1996</v>
      </c>
      <c r="D83" s="152" t="s">
        <v>157</v>
      </c>
      <c r="E83" s="153" t="s">
        <v>172</v>
      </c>
      <c r="F83" s="88">
        <v>8</v>
      </c>
      <c r="G83" s="90">
        <v>11</v>
      </c>
      <c r="H83" s="90"/>
      <c r="I83" s="163">
        <v>12.3</v>
      </c>
      <c r="J83" s="155">
        <v>4.53</v>
      </c>
      <c r="K83" s="88">
        <v>8</v>
      </c>
      <c r="L83" s="89">
        <v>1253.0999999999999</v>
      </c>
      <c r="M83" s="89"/>
      <c r="N83" s="163">
        <v>8.6999999999999993</v>
      </c>
      <c r="O83" s="155">
        <v>1.18</v>
      </c>
      <c r="P83" s="88">
        <v>8</v>
      </c>
      <c r="R83" s="157">
        <f t="shared" si="15"/>
        <v>-1.0875859947978659</v>
      </c>
      <c r="S83" s="90">
        <v>1</v>
      </c>
      <c r="T83" s="174">
        <f t="shared" si="16"/>
        <v>-1.0875859947978659</v>
      </c>
      <c r="U83" s="174">
        <f t="shared" si="17"/>
        <v>-1.0282631223543459</v>
      </c>
      <c r="V83" s="174">
        <f t="shared" si="18"/>
        <v>-2.8844375963020044</v>
      </c>
      <c r="X83" s="156" t="s">
        <v>75</v>
      </c>
      <c r="Y83" s="156" t="s">
        <v>75</v>
      </c>
      <c r="Z83" s="156" t="s">
        <v>44</v>
      </c>
      <c r="AA83" s="156" t="s">
        <v>75</v>
      </c>
      <c r="AB83" s="90"/>
    </row>
    <row r="84" spans="1:28" ht="18.75" customHeight="1" x14ac:dyDescent="0.2">
      <c r="A84" s="90" t="s">
        <v>146</v>
      </c>
      <c r="B84" s="90" t="s">
        <v>82</v>
      </c>
      <c r="C84" s="88">
        <v>2013</v>
      </c>
      <c r="D84" s="152" t="s">
        <v>164</v>
      </c>
      <c r="E84" s="90" t="s">
        <v>165</v>
      </c>
      <c r="F84" s="90">
        <v>9</v>
      </c>
      <c r="G84" s="90">
        <v>12</v>
      </c>
      <c r="H84" s="90"/>
      <c r="I84" s="163">
        <v>99.1</v>
      </c>
      <c r="J84" s="155">
        <v>14.9</v>
      </c>
      <c r="K84" s="88">
        <v>57</v>
      </c>
      <c r="L84" s="175">
        <f>(845.7+774.9)/2</f>
        <v>810.3</v>
      </c>
      <c r="M84" s="175"/>
      <c r="N84" s="163">
        <v>103.6</v>
      </c>
      <c r="O84" s="155">
        <v>13.6</v>
      </c>
      <c r="P84" s="88">
        <v>46</v>
      </c>
      <c r="R84" s="157">
        <f t="shared" si="15"/>
        <v>0.31546146331286101</v>
      </c>
      <c r="S84" s="90">
        <v>-1</v>
      </c>
      <c r="T84" s="174">
        <f t="shared" si="16"/>
        <v>-0.31390908175481508</v>
      </c>
      <c r="U84" s="174">
        <f t="shared" si="17"/>
        <v>-0.31157228958294303</v>
      </c>
      <c r="V84" s="174">
        <f t="shared" si="18"/>
        <v>-0.32841920887461684</v>
      </c>
      <c r="X84" s="334">
        <v>3</v>
      </c>
      <c r="Y84" s="334" t="s">
        <v>85</v>
      </c>
      <c r="Z84" s="156" t="s">
        <v>44</v>
      </c>
      <c r="AA84" s="334" t="s">
        <v>85</v>
      </c>
    </row>
    <row r="85" spans="1:28" ht="18.75" customHeight="1" x14ac:dyDescent="0.2">
      <c r="A85" s="90"/>
      <c r="B85" s="90"/>
      <c r="D85" s="152"/>
      <c r="F85" s="173">
        <v>9</v>
      </c>
      <c r="G85" s="173">
        <v>12</v>
      </c>
      <c r="H85" s="90"/>
      <c r="I85" s="163"/>
      <c r="J85" s="155">
        <f>AVERAGE(J73:J84)</f>
        <v>121.50750000000001</v>
      </c>
      <c r="K85" s="337">
        <f>AVERAGE(K73,K75,K76,K78,K79,K80,K81,K83,K84)</f>
        <v>27.111111111111111</v>
      </c>
      <c r="L85" s="337">
        <f>SUM(L73,L75,L76,L78,L79,L80,L81,L83,L84)</f>
        <v>8515.9</v>
      </c>
      <c r="M85" s="338"/>
      <c r="N85" s="216"/>
      <c r="O85" s="155">
        <f>AVERAGE(O73:O84)</f>
        <v>64.714999999999989</v>
      </c>
      <c r="P85" s="337">
        <f>SUM(P73,P75,P76,P78,P79,P80,P81,P83,P84)</f>
        <v>233</v>
      </c>
      <c r="R85" s="157"/>
      <c r="S85" s="90"/>
      <c r="T85" s="189">
        <f>AVERAGE(T73:T84)</f>
        <v>-0.91535821618794799</v>
      </c>
      <c r="U85" s="189">
        <f t="shared" ref="U85:V85" si="19">AVERAGE(U73:U84)</f>
        <v>-0.88937092838276965</v>
      </c>
      <c r="V85" s="189">
        <f t="shared" si="19"/>
        <v>-1.3038455142708865</v>
      </c>
    </row>
    <row r="86" spans="1:28" ht="18.75" customHeight="1" x14ac:dyDescent="0.2">
      <c r="A86" s="90"/>
      <c r="B86" s="90"/>
      <c r="D86" s="221"/>
      <c r="F86" s="90"/>
      <c r="G86" s="90"/>
      <c r="H86" s="90"/>
      <c r="I86" s="163"/>
      <c r="J86" s="155"/>
      <c r="L86" s="89"/>
      <c r="M86" s="89"/>
      <c r="N86" s="163"/>
      <c r="O86" s="155"/>
      <c r="R86" s="157"/>
      <c r="S86" s="90"/>
      <c r="T86" s="197">
        <f>STDEV(T73:T84)</f>
        <v>0.6093687437432479</v>
      </c>
      <c r="U86" s="197">
        <f t="shared" ref="U86:V86" si="20">STDEV(U73:U84)</f>
        <v>0.59343611455518264</v>
      </c>
      <c r="V86" s="197">
        <f t="shared" si="20"/>
        <v>1.1402685790481575</v>
      </c>
    </row>
    <row r="87" spans="1:28" ht="28.5" customHeight="1" x14ac:dyDescent="0.2">
      <c r="A87" s="90" t="s">
        <v>173</v>
      </c>
      <c r="B87" s="90" t="s">
        <v>127</v>
      </c>
      <c r="C87" s="88">
        <v>2018</v>
      </c>
      <c r="D87" s="152" t="s">
        <v>174</v>
      </c>
      <c r="E87" s="90" t="s">
        <v>175</v>
      </c>
      <c r="F87" s="90">
        <v>1</v>
      </c>
      <c r="G87" s="90">
        <v>1</v>
      </c>
      <c r="H87" s="90"/>
      <c r="I87" s="164">
        <v>2.2000000000000002</v>
      </c>
      <c r="J87" s="199">
        <v>0.4</v>
      </c>
      <c r="K87" s="90">
        <v>33</v>
      </c>
      <c r="L87" s="89">
        <v>751.2</v>
      </c>
      <c r="M87" s="89"/>
      <c r="N87" s="164">
        <v>2.4</v>
      </c>
      <c r="O87" s="199">
        <v>0.4</v>
      </c>
      <c r="P87" s="90">
        <v>32</v>
      </c>
      <c r="Q87" s="90"/>
      <c r="R87" s="157">
        <f t="shared" ref="R87:R101" si="21">(N87-I87)/SQRT((O87^2+J87^2)/2)</f>
        <v>0.49999999999999933</v>
      </c>
      <c r="S87" s="90">
        <v>-1</v>
      </c>
      <c r="T87" s="174">
        <f t="shared" ref="T87:T101" si="22">(N87-I87)/SQRT((((P87-1)*O87^2) + ((K87-1)*J87^2))/(P87+K87-2))*S87</f>
        <v>-0.49999999999999933</v>
      </c>
      <c r="U87" s="174">
        <f t="shared" ref="U87:U101" si="23">T87*(1-(3/(4*(K87+P87-2) -1)))</f>
        <v>-0.49402390438246946</v>
      </c>
      <c r="V87" s="174">
        <f t="shared" ref="V87:V101" si="24">((N87-I87)/O87)*S87 * (1-(3/(4*(K87+P87-2)-1)))</f>
        <v>-0.49402390438246946</v>
      </c>
      <c r="W87" s="343">
        <f>V102-(V103*2.5)</f>
        <v>-1.7076111304810315</v>
      </c>
      <c r="X87" s="90">
        <v>1</v>
      </c>
      <c r="Y87" s="90" t="s">
        <v>63</v>
      </c>
      <c r="Z87" s="88" t="s">
        <v>32</v>
      </c>
      <c r="AA87" s="90" t="s">
        <v>48</v>
      </c>
    </row>
    <row r="88" spans="1:28" ht="28.5" customHeight="1" x14ac:dyDescent="0.2">
      <c r="A88" s="90" t="s">
        <v>173</v>
      </c>
      <c r="B88" s="90" t="s">
        <v>127</v>
      </c>
      <c r="C88" s="88">
        <v>2018</v>
      </c>
      <c r="D88" s="152" t="s">
        <v>176</v>
      </c>
      <c r="E88" s="90" t="s">
        <v>176</v>
      </c>
      <c r="F88" s="90">
        <v>1</v>
      </c>
      <c r="G88" s="90">
        <v>2</v>
      </c>
      <c r="H88" s="90"/>
      <c r="I88" s="164">
        <v>13.2</v>
      </c>
      <c r="J88" s="199">
        <v>2.5</v>
      </c>
      <c r="K88" s="90">
        <v>33</v>
      </c>
      <c r="L88" s="89">
        <v>751.2</v>
      </c>
      <c r="M88" s="89"/>
      <c r="N88" s="164">
        <v>14.2</v>
      </c>
      <c r="O88" s="199">
        <v>3</v>
      </c>
      <c r="P88" s="90">
        <v>32</v>
      </c>
      <c r="Q88" s="90"/>
      <c r="R88" s="157">
        <f t="shared" si="21"/>
        <v>0.36214298417007412</v>
      </c>
      <c r="S88" s="90">
        <v>-1</v>
      </c>
      <c r="T88" s="174">
        <f t="shared" si="22"/>
        <v>-0.362662388938708</v>
      </c>
      <c r="U88" s="174">
        <f t="shared" si="23"/>
        <v>-0.35832777871234894</v>
      </c>
      <c r="V88" s="174">
        <f t="shared" si="24"/>
        <v>-0.3293492695883134</v>
      </c>
      <c r="X88" s="90">
        <v>1</v>
      </c>
      <c r="Y88" s="90" t="s">
        <v>63</v>
      </c>
      <c r="Z88" s="88" t="s">
        <v>32</v>
      </c>
      <c r="AA88" s="90" t="s">
        <v>48</v>
      </c>
    </row>
    <row r="89" spans="1:28" ht="28.5" customHeight="1" x14ac:dyDescent="0.2">
      <c r="A89" s="90" t="s">
        <v>173</v>
      </c>
      <c r="B89" s="90" t="s">
        <v>127</v>
      </c>
      <c r="C89" s="88">
        <v>2018</v>
      </c>
      <c r="D89" s="152" t="s">
        <v>177</v>
      </c>
      <c r="E89" s="90" t="s">
        <v>178</v>
      </c>
      <c r="F89" s="90">
        <v>1</v>
      </c>
      <c r="G89" s="90">
        <v>3</v>
      </c>
      <c r="H89" s="90"/>
      <c r="I89" s="164">
        <v>81.099999999999994</v>
      </c>
      <c r="J89" s="199">
        <v>21.2</v>
      </c>
      <c r="K89" s="90">
        <v>33</v>
      </c>
      <c r="L89" s="89">
        <v>751.2</v>
      </c>
      <c r="M89" s="89"/>
      <c r="N89" s="164">
        <v>86.7</v>
      </c>
      <c r="O89" s="199">
        <v>10.9</v>
      </c>
      <c r="P89" s="90">
        <v>32</v>
      </c>
      <c r="Q89" s="90"/>
      <c r="R89" s="157">
        <f t="shared" si="21"/>
        <v>0.33222575927430026</v>
      </c>
      <c r="S89" s="90">
        <v>-1</v>
      </c>
      <c r="T89" s="174">
        <f t="shared" si="22"/>
        <v>-0.33070216258014767</v>
      </c>
      <c r="U89" s="174">
        <f t="shared" si="23"/>
        <v>-0.3267495470911419</v>
      </c>
      <c r="V89" s="174">
        <f t="shared" si="24"/>
        <v>-0.50762089257648391</v>
      </c>
      <c r="X89" s="90">
        <v>1</v>
      </c>
      <c r="Y89" s="90" t="s">
        <v>63</v>
      </c>
      <c r="Z89" s="88" t="s">
        <v>32</v>
      </c>
      <c r="AA89" s="90" t="s">
        <v>48</v>
      </c>
    </row>
    <row r="90" spans="1:28" ht="28.5" customHeight="1" x14ac:dyDescent="0.2">
      <c r="A90" s="90" t="s">
        <v>173</v>
      </c>
      <c r="B90" s="90" t="s">
        <v>127</v>
      </c>
      <c r="C90" s="88">
        <v>2018</v>
      </c>
      <c r="D90" s="152" t="s">
        <v>179</v>
      </c>
      <c r="E90" s="90" t="s">
        <v>180</v>
      </c>
      <c r="F90" s="90">
        <v>1</v>
      </c>
      <c r="G90" s="90">
        <v>4</v>
      </c>
      <c r="H90" s="90"/>
      <c r="I90" s="164">
        <v>87.7</v>
      </c>
      <c r="J90" s="199">
        <v>7.8</v>
      </c>
      <c r="K90" s="90">
        <v>33</v>
      </c>
      <c r="L90" s="89">
        <v>751.2</v>
      </c>
      <c r="M90" s="89"/>
      <c r="N90" s="164">
        <v>91.7</v>
      </c>
      <c r="O90" s="199">
        <v>4.5999999999999996</v>
      </c>
      <c r="P90" s="90">
        <v>32</v>
      </c>
      <c r="Q90" s="90"/>
      <c r="R90" s="157">
        <f t="shared" si="21"/>
        <v>0.62469504755442429</v>
      </c>
      <c r="S90" s="90">
        <v>-1</v>
      </c>
      <c r="T90" s="174">
        <f t="shared" si="22"/>
        <v>-0.62230964195273053</v>
      </c>
      <c r="U90" s="174">
        <f t="shared" si="23"/>
        <v>-0.6148716781046899</v>
      </c>
      <c r="V90" s="174">
        <f t="shared" si="24"/>
        <v>-0.85917200762168722</v>
      </c>
      <c r="X90" s="90">
        <v>1</v>
      </c>
      <c r="Y90" s="90" t="s">
        <v>63</v>
      </c>
      <c r="Z90" s="88" t="s">
        <v>32</v>
      </c>
      <c r="AA90" s="90" t="s">
        <v>48</v>
      </c>
    </row>
    <row r="91" spans="1:28" ht="28.5" customHeight="1" x14ac:dyDescent="0.2">
      <c r="A91" s="90" t="s">
        <v>173</v>
      </c>
      <c r="B91" s="90" t="s">
        <v>127</v>
      </c>
      <c r="C91" s="88">
        <v>2018</v>
      </c>
      <c r="D91" s="152" t="s">
        <v>181</v>
      </c>
      <c r="E91" s="90" t="s">
        <v>182</v>
      </c>
      <c r="F91" s="90">
        <v>1</v>
      </c>
      <c r="G91" s="90">
        <v>5</v>
      </c>
      <c r="H91" s="90"/>
      <c r="I91" s="164">
        <v>0.6</v>
      </c>
      <c r="J91" s="199">
        <v>1.1000000000000001</v>
      </c>
      <c r="K91" s="90">
        <v>22</v>
      </c>
      <c r="L91" s="89">
        <v>751.2</v>
      </c>
      <c r="M91" s="89"/>
      <c r="N91" s="164">
        <v>0.3</v>
      </c>
      <c r="O91" s="199">
        <v>0.5</v>
      </c>
      <c r="P91" s="90">
        <v>25</v>
      </c>
      <c r="Q91" s="90"/>
      <c r="R91" s="157">
        <f t="shared" si="21"/>
        <v>-0.35112344158839165</v>
      </c>
      <c r="S91" s="90">
        <v>1</v>
      </c>
      <c r="T91" s="174">
        <f t="shared" si="22"/>
        <v>-0.35908192391184107</v>
      </c>
      <c r="U91" s="174">
        <f t="shared" si="23"/>
        <v>-0.35306379110884933</v>
      </c>
      <c r="V91" s="174">
        <f t="shared" si="24"/>
        <v>-0.58994413407821222</v>
      </c>
      <c r="X91" s="90">
        <v>1</v>
      </c>
      <c r="Y91" s="90" t="s">
        <v>63</v>
      </c>
      <c r="Z91" s="88" t="s">
        <v>32</v>
      </c>
      <c r="AA91" s="90" t="s">
        <v>48</v>
      </c>
    </row>
    <row r="92" spans="1:28" ht="28.5" customHeight="1" x14ac:dyDescent="0.2">
      <c r="A92" s="90" t="s">
        <v>173</v>
      </c>
      <c r="B92" s="90" t="s">
        <v>127</v>
      </c>
      <c r="C92" s="88">
        <v>2018</v>
      </c>
      <c r="D92" s="152" t="s">
        <v>183</v>
      </c>
      <c r="E92" s="90" t="s">
        <v>184</v>
      </c>
      <c r="F92" s="90">
        <v>1</v>
      </c>
      <c r="G92" s="90">
        <v>6</v>
      </c>
      <c r="H92" s="90"/>
      <c r="I92" s="164">
        <v>0.2</v>
      </c>
      <c r="J92" s="199">
        <v>0.5</v>
      </c>
      <c r="K92" s="90">
        <v>22</v>
      </c>
      <c r="L92" s="89">
        <v>751.2</v>
      </c>
      <c r="M92" s="89"/>
      <c r="N92" s="164">
        <v>0.4</v>
      </c>
      <c r="O92" s="199">
        <v>0.8</v>
      </c>
      <c r="P92" s="90">
        <v>25</v>
      </c>
      <c r="Q92" s="90"/>
      <c r="R92" s="157">
        <f t="shared" si="21"/>
        <v>0.29981267559834457</v>
      </c>
      <c r="S92" s="90">
        <v>1</v>
      </c>
      <c r="T92" s="174">
        <f t="shared" si="22"/>
        <v>0.29552706228277081</v>
      </c>
      <c r="U92" s="174">
        <f t="shared" si="23"/>
        <v>0.29057409475847856</v>
      </c>
      <c r="V92" s="174">
        <f t="shared" si="24"/>
        <v>0.24581005586592178</v>
      </c>
      <c r="X92" s="90">
        <v>1</v>
      </c>
      <c r="Y92" s="90" t="s">
        <v>63</v>
      </c>
      <c r="Z92" s="88" t="s">
        <v>32</v>
      </c>
      <c r="AA92" s="90" t="s">
        <v>48</v>
      </c>
    </row>
    <row r="93" spans="1:28" ht="28.5" customHeight="1" x14ac:dyDescent="0.2">
      <c r="A93" s="90" t="s">
        <v>173</v>
      </c>
      <c r="B93" s="90" t="s">
        <v>127</v>
      </c>
      <c r="C93" s="88">
        <v>2018</v>
      </c>
      <c r="D93" s="152" t="s">
        <v>185</v>
      </c>
      <c r="E93" s="90" t="s">
        <v>186</v>
      </c>
      <c r="F93" s="90">
        <v>1</v>
      </c>
      <c r="G93" s="90">
        <v>7</v>
      </c>
      <c r="H93" s="90"/>
      <c r="I93" s="164">
        <v>1.1000000000000001</v>
      </c>
      <c r="J93" s="199">
        <v>1.2</v>
      </c>
      <c r="K93" s="90">
        <v>22</v>
      </c>
      <c r="L93" s="89">
        <v>751.2</v>
      </c>
      <c r="M93" s="89"/>
      <c r="N93" s="164">
        <v>1.4</v>
      </c>
      <c r="O93" s="199">
        <v>1.9</v>
      </c>
      <c r="P93" s="90">
        <v>25</v>
      </c>
      <c r="Q93" s="90"/>
      <c r="R93" s="157">
        <f t="shared" si="21"/>
        <v>0.18879503265826567</v>
      </c>
      <c r="S93" s="90">
        <v>1</v>
      </c>
      <c r="T93" s="174">
        <f t="shared" si="22"/>
        <v>0.18614758667423173</v>
      </c>
      <c r="U93" s="174">
        <f t="shared" si="23"/>
        <v>0.18302779471879768</v>
      </c>
      <c r="V93" s="174">
        <f t="shared" si="24"/>
        <v>0.15524845633637155</v>
      </c>
      <c r="X93" s="90">
        <v>1</v>
      </c>
      <c r="Y93" s="90" t="s">
        <v>63</v>
      </c>
      <c r="Z93" s="88" t="s">
        <v>32</v>
      </c>
      <c r="AA93" s="90" t="s">
        <v>48</v>
      </c>
    </row>
    <row r="94" spans="1:28" ht="28.5" customHeight="1" x14ac:dyDescent="0.2">
      <c r="A94" s="90" t="s">
        <v>173</v>
      </c>
      <c r="B94" s="90" t="s">
        <v>127</v>
      </c>
      <c r="C94" s="88">
        <v>2018</v>
      </c>
      <c r="D94" s="152" t="s">
        <v>187</v>
      </c>
      <c r="E94" s="90" t="s">
        <v>188</v>
      </c>
      <c r="F94" s="90">
        <v>1</v>
      </c>
      <c r="G94" s="90">
        <v>8</v>
      </c>
      <c r="H94" s="90"/>
      <c r="I94" s="164">
        <v>1.1000000000000001</v>
      </c>
      <c r="J94" s="199">
        <v>1.7</v>
      </c>
      <c r="K94" s="90">
        <v>22</v>
      </c>
      <c r="L94" s="89">
        <v>751.2</v>
      </c>
      <c r="M94" s="89"/>
      <c r="N94" s="164">
        <v>2.2999999999999998</v>
      </c>
      <c r="O94" s="199">
        <v>3.1</v>
      </c>
      <c r="P94" s="90">
        <v>25</v>
      </c>
      <c r="Q94" s="90"/>
      <c r="R94" s="157">
        <f t="shared" si="21"/>
        <v>0.47999999999999987</v>
      </c>
      <c r="S94" s="90">
        <v>1</v>
      </c>
      <c r="T94" s="174">
        <f t="shared" si="22"/>
        <v>0.47162291529929184</v>
      </c>
      <c r="U94" s="174">
        <f t="shared" si="23"/>
        <v>0.46371862062947128</v>
      </c>
      <c r="V94" s="174">
        <f t="shared" si="24"/>
        <v>0.38060911876013681</v>
      </c>
      <c r="X94" s="90">
        <v>1</v>
      </c>
      <c r="Y94" s="90" t="s">
        <v>63</v>
      </c>
      <c r="Z94" s="88" t="s">
        <v>32</v>
      </c>
      <c r="AA94" s="90" t="s">
        <v>48</v>
      </c>
    </row>
    <row r="95" spans="1:28" ht="28.5" customHeight="1" x14ac:dyDescent="0.2">
      <c r="A95" s="90" t="s">
        <v>173</v>
      </c>
      <c r="B95" s="90" t="s">
        <v>127</v>
      </c>
      <c r="C95" s="88">
        <v>2018</v>
      </c>
      <c r="D95" s="152" t="s">
        <v>189</v>
      </c>
      <c r="E95" s="90" t="s">
        <v>190</v>
      </c>
      <c r="F95" s="90">
        <v>1</v>
      </c>
      <c r="G95" s="90">
        <v>9</v>
      </c>
      <c r="H95" s="90"/>
      <c r="I95" s="164">
        <v>58.9</v>
      </c>
      <c r="J95" s="199">
        <v>34.299999999999997</v>
      </c>
      <c r="K95" s="90">
        <v>22</v>
      </c>
      <c r="L95" s="89">
        <v>751.2</v>
      </c>
      <c r="M95" s="89"/>
      <c r="N95" s="164">
        <v>41</v>
      </c>
      <c r="O95" s="199">
        <v>13</v>
      </c>
      <c r="P95" s="90">
        <v>25</v>
      </c>
      <c r="Q95" s="90"/>
      <c r="R95" s="157">
        <f t="shared" si="21"/>
        <v>-0.69012505005173985</v>
      </c>
      <c r="S95" s="90">
        <v>1</v>
      </c>
      <c r="T95" s="174">
        <f t="shared" si="22"/>
        <v>-0.70802331230933468</v>
      </c>
      <c r="U95" s="174">
        <f t="shared" si="23"/>
        <v>-0.69615699981253021</v>
      </c>
      <c r="V95" s="174">
        <f t="shared" si="24"/>
        <v>-1.3538461538461537</v>
      </c>
      <c r="X95" s="90">
        <v>1</v>
      </c>
      <c r="Y95" s="90" t="s">
        <v>63</v>
      </c>
      <c r="Z95" s="88" t="s">
        <v>32</v>
      </c>
      <c r="AA95" s="90" t="s">
        <v>48</v>
      </c>
    </row>
    <row r="96" spans="1:28" ht="28.5" customHeight="1" x14ac:dyDescent="0.2">
      <c r="A96" s="90" t="s">
        <v>173</v>
      </c>
      <c r="B96" s="90" t="s">
        <v>127</v>
      </c>
      <c r="C96" s="88">
        <v>2018</v>
      </c>
      <c r="D96" s="152" t="s">
        <v>191</v>
      </c>
      <c r="E96" s="90" t="s">
        <v>192</v>
      </c>
      <c r="F96" s="90">
        <v>1</v>
      </c>
      <c r="G96" s="90">
        <v>10</v>
      </c>
      <c r="H96" s="90"/>
      <c r="I96" s="164">
        <v>2</v>
      </c>
      <c r="J96" s="199">
        <v>1.3</v>
      </c>
      <c r="K96" s="90">
        <v>22</v>
      </c>
      <c r="L96" s="89">
        <v>751.2</v>
      </c>
      <c r="M96" s="89"/>
      <c r="N96" s="164">
        <v>2.2000000000000002</v>
      </c>
      <c r="O96" s="199">
        <v>1.6</v>
      </c>
      <c r="P96" s="90">
        <v>25</v>
      </c>
      <c r="Q96" s="90"/>
      <c r="R96" s="157">
        <f t="shared" si="21"/>
        <v>0.13719886811400719</v>
      </c>
      <c r="S96" s="90">
        <v>1</v>
      </c>
      <c r="T96" s="174">
        <f t="shared" si="22"/>
        <v>0.13627216199782616</v>
      </c>
      <c r="U96" s="174">
        <f t="shared" si="23"/>
        <v>0.13398827101462235</v>
      </c>
      <c r="V96" s="174">
        <f t="shared" si="24"/>
        <v>0.122905027932961</v>
      </c>
      <c r="X96" s="90">
        <v>1</v>
      </c>
      <c r="Y96" s="90" t="s">
        <v>63</v>
      </c>
      <c r="Z96" s="88" t="s">
        <v>32</v>
      </c>
      <c r="AA96" s="90" t="s">
        <v>48</v>
      </c>
    </row>
    <row r="97" spans="1:29" ht="28.5" customHeight="1" x14ac:dyDescent="0.2">
      <c r="A97" s="90" t="s">
        <v>173</v>
      </c>
      <c r="B97" s="90" t="s">
        <v>127</v>
      </c>
      <c r="C97" s="88">
        <v>2018</v>
      </c>
      <c r="D97" s="152" t="s">
        <v>193</v>
      </c>
      <c r="E97" s="90" t="s">
        <v>194</v>
      </c>
      <c r="F97" s="90">
        <v>1</v>
      </c>
      <c r="G97" s="90">
        <v>11</v>
      </c>
      <c r="H97" s="90"/>
      <c r="I97" s="164">
        <v>91.6</v>
      </c>
      <c r="J97" s="199">
        <v>44</v>
      </c>
      <c r="K97" s="90">
        <v>22</v>
      </c>
      <c r="L97" s="89">
        <v>751.2</v>
      </c>
      <c r="M97" s="89"/>
      <c r="N97" s="164">
        <v>76.900000000000006</v>
      </c>
      <c r="O97" s="199">
        <v>23</v>
      </c>
      <c r="P97" s="90">
        <v>25</v>
      </c>
      <c r="Q97" s="90"/>
      <c r="R97" s="157">
        <f t="shared" si="21"/>
        <v>-0.41872015954347519</v>
      </c>
      <c r="S97" s="90">
        <v>1</v>
      </c>
      <c r="T97" s="174">
        <f t="shared" si="22"/>
        <v>-0.42692170915635996</v>
      </c>
      <c r="U97" s="174">
        <f t="shared" si="23"/>
        <v>-0.41976659671239863</v>
      </c>
      <c r="V97" s="174">
        <f t="shared" si="24"/>
        <v>-0.62841875151809523</v>
      </c>
      <c r="X97" s="90">
        <v>1</v>
      </c>
      <c r="Y97" s="90" t="s">
        <v>63</v>
      </c>
      <c r="Z97" s="88" t="s">
        <v>32</v>
      </c>
      <c r="AA97" s="90" t="s">
        <v>48</v>
      </c>
    </row>
    <row r="98" spans="1:29" ht="28.5" customHeight="1" x14ac:dyDescent="0.2">
      <c r="A98" s="90" t="s">
        <v>173</v>
      </c>
      <c r="B98" s="90" t="s">
        <v>127</v>
      </c>
      <c r="C98" s="88">
        <v>2018</v>
      </c>
      <c r="D98" s="152" t="s">
        <v>195</v>
      </c>
      <c r="E98" s="90" t="s">
        <v>196</v>
      </c>
      <c r="F98" s="90">
        <v>1</v>
      </c>
      <c r="G98" s="90">
        <v>12</v>
      </c>
      <c r="H98" s="90"/>
      <c r="I98" s="164">
        <v>1.3</v>
      </c>
      <c r="J98" s="199">
        <v>1.2</v>
      </c>
      <c r="K98" s="90">
        <v>22</v>
      </c>
      <c r="L98" s="89">
        <v>751.2</v>
      </c>
      <c r="M98" s="89"/>
      <c r="N98" s="164">
        <v>1.2</v>
      </c>
      <c r="O98" s="199">
        <v>1.2</v>
      </c>
      <c r="P98" s="90">
        <v>25</v>
      </c>
      <c r="Q98" s="90"/>
      <c r="R98" s="157">
        <f t="shared" si="21"/>
        <v>-8.3333333333333412E-2</v>
      </c>
      <c r="S98" s="90">
        <v>1</v>
      </c>
      <c r="T98" s="174">
        <f t="shared" si="22"/>
        <v>-8.3333333333333412E-2</v>
      </c>
      <c r="U98" s="174">
        <f t="shared" si="23"/>
        <v>-8.1936685288640676E-2</v>
      </c>
      <c r="V98" s="174">
        <f t="shared" si="24"/>
        <v>-8.1936685288640676E-2</v>
      </c>
      <c r="X98" s="90">
        <v>1</v>
      </c>
      <c r="Y98" s="90" t="s">
        <v>63</v>
      </c>
      <c r="Z98" s="88" t="s">
        <v>32</v>
      </c>
      <c r="AA98" s="90" t="s">
        <v>48</v>
      </c>
    </row>
    <row r="99" spans="1:29" ht="28.5" customHeight="1" x14ac:dyDescent="0.2">
      <c r="A99" s="90" t="s">
        <v>173</v>
      </c>
      <c r="B99" s="90" t="s">
        <v>127</v>
      </c>
      <c r="C99" s="88">
        <v>2018</v>
      </c>
      <c r="D99" s="152" t="s">
        <v>197</v>
      </c>
      <c r="E99" s="90" t="s">
        <v>198</v>
      </c>
      <c r="F99" s="90">
        <v>1</v>
      </c>
      <c r="G99" s="90">
        <v>13</v>
      </c>
      <c r="H99" s="90"/>
      <c r="I99" s="164">
        <v>157.9</v>
      </c>
      <c r="J99" s="199">
        <v>54.6</v>
      </c>
      <c r="K99" s="90">
        <v>22</v>
      </c>
      <c r="L99" s="89">
        <v>751.2</v>
      </c>
      <c r="M99" s="89"/>
      <c r="N99" s="164">
        <v>119.2</v>
      </c>
      <c r="O99" s="199">
        <v>40</v>
      </c>
      <c r="P99" s="90">
        <v>25</v>
      </c>
      <c r="Q99" s="90"/>
      <c r="R99" s="157">
        <f t="shared" si="21"/>
        <v>-0.80860837068414182</v>
      </c>
      <c r="S99" s="90">
        <v>1</v>
      </c>
      <c r="T99" s="174">
        <f t="shared" si="22"/>
        <v>-0.81685911840552716</v>
      </c>
      <c r="U99" s="174">
        <f t="shared" si="23"/>
        <v>-0.80316874211940092</v>
      </c>
      <c r="V99" s="174">
        <f t="shared" si="24"/>
        <v>-0.95128491620111733</v>
      </c>
      <c r="X99" s="90">
        <v>1</v>
      </c>
      <c r="Y99" s="90" t="s">
        <v>63</v>
      </c>
      <c r="Z99" s="88" t="s">
        <v>32</v>
      </c>
      <c r="AA99" s="90" t="s">
        <v>48</v>
      </c>
    </row>
    <row r="100" spans="1:29" ht="28.5" customHeight="1" x14ac:dyDescent="0.2">
      <c r="A100" s="90" t="s">
        <v>173</v>
      </c>
      <c r="B100" s="90" t="s">
        <v>60</v>
      </c>
      <c r="C100" s="88">
        <v>2017</v>
      </c>
      <c r="D100" s="152" t="s">
        <v>199</v>
      </c>
      <c r="E100" s="90" t="s">
        <v>200</v>
      </c>
      <c r="F100" s="90">
        <v>1</v>
      </c>
      <c r="G100" s="90">
        <v>14</v>
      </c>
      <c r="H100" s="90"/>
      <c r="I100" s="164">
        <v>58.4</v>
      </c>
      <c r="J100" s="199">
        <v>8.6999999999999993</v>
      </c>
      <c r="K100" s="90">
        <v>37</v>
      </c>
      <c r="L100" s="89">
        <v>720</v>
      </c>
      <c r="M100" s="89"/>
      <c r="N100" s="164">
        <v>64.2</v>
      </c>
      <c r="O100" s="199">
        <v>7.2</v>
      </c>
      <c r="P100" s="90">
        <v>30</v>
      </c>
      <c r="Q100" s="90"/>
      <c r="R100" s="157">
        <f t="shared" si="21"/>
        <v>0.72633473153983363</v>
      </c>
      <c r="S100" s="90">
        <v>-1</v>
      </c>
      <c r="T100" s="174">
        <f t="shared" si="22"/>
        <v>-0.71912917922028208</v>
      </c>
      <c r="U100" s="174">
        <f t="shared" si="23"/>
        <v>-0.7107994976076919</v>
      </c>
      <c r="V100" s="174">
        <f t="shared" si="24"/>
        <v>-0.7962247962247968</v>
      </c>
      <c r="X100" s="90">
        <v>1</v>
      </c>
      <c r="Y100" s="90" t="s">
        <v>63</v>
      </c>
      <c r="Z100" s="88" t="s">
        <v>32</v>
      </c>
      <c r="AA100" s="90" t="s">
        <v>48</v>
      </c>
    </row>
    <row r="101" spans="1:29" ht="28.5" customHeight="1" x14ac:dyDescent="0.2">
      <c r="A101" s="90" t="s">
        <v>173</v>
      </c>
      <c r="B101" s="90" t="s">
        <v>60</v>
      </c>
      <c r="C101" s="88">
        <v>2017</v>
      </c>
      <c r="D101" s="152" t="s">
        <v>201</v>
      </c>
      <c r="E101" s="90" t="s">
        <v>202</v>
      </c>
      <c r="F101" s="90">
        <v>1</v>
      </c>
      <c r="G101" s="90">
        <v>15</v>
      </c>
      <c r="H101" s="90"/>
      <c r="I101" s="164">
        <v>36</v>
      </c>
      <c r="J101" s="199">
        <v>5.8</v>
      </c>
      <c r="K101" s="90">
        <v>37</v>
      </c>
      <c r="L101" s="89">
        <v>720</v>
      </c>
      <c r="M101" s="89"/>
      <c r="N101" s="164">
        <v>39.200000000000003</v>
      </c>
      <c r="O101" s="199">
        <v>3.6</v>
      </c>
      <c r="P101" s="90">
        <v>30</v>
      </c>
      <c r="Q101" s="90"/>
      <c r="R101" s="157">
        <f t="shared" si="21"/>
        <v>0.66293663237203393</v>
      </c>
      <c r="S101" s="90">
        <v>-1</v>
      </c>
      <c r="T101" s="174">
        <f t="shared" si="22"/>
        <v>-0.64764141552672927</v>
      </c>
      <c r="U101" s="174">
        <f t="shared" si="23"/>
        <v>-0.64013977750904516</v>
      </c>
      <c r="V101" s="174">
        <f t="shared" si="24"/>
        <v>-0.87859287859287938</v>
      </c>
      <c r="X101" s="90">
        <v>1</v>
      </c>
      <c r="Y101" s="90" t="s">
        <v>63</v>
      </c>
      <c r="Z101" s="88" t="s">
        <v>32</v>
      </c>
      <c r="AA101" s="90" t="s">
        <v>48</v>
      </c>
    </row>
    <row r="102" spans="1:29" ht="18.75" customHeight="1" x14ac:dyDescent="0.2">
      <c r="A102" s="90"/>
      <c r="B102" s="90"/>
      <c r="D102" s="152"/>
      <c r="E102" s="344"/>
      <c r="F102" s="173">
        <v>1</v>
      </c>
      <c r="G102" s="173">
        <v>15</v>
      </c>
      <c r="H102" s="90"/>
      <c r="I102" s="164"/>
      <c r="J102" s="155">
        <f>AVERAGE(J87:J101)</f>
        <v>12.42</v>
      </c>
      <c r="K102" s="337">
        <f>SUM(K100)</f>
        <v>37</v>
      </c>
      <c r="L102" s="89">
        <v>720</v>
      </c>
      <c r="M102" s="89"/>
      <c r="N102" s="216"/>
      <c r="O102" s="155">
        <f>AVERAGE(O87:O101)</f>
        <v>7.6533333333333333</v>
      </c>
      <c r="P102" s="337">
        <f>SUM(P235)</f>
        <v>30</v>
      </c>
      <c r="Q102" s="90"/>
      <c r="R102" s="157"/>
      <c r="S102" s="90"/>
      <c r="T102" s="189">
        <f>AVERAGE(T87:T101)</f>
        <v>-0.2991396306053915</v>
      </c>
      <c r="U102" s="189">
        <f t="shared" ref="U102:V102" si="25">AVERAGE(U87:U101)</f>
        <v>-0.29517974782185585</v>
      </c>
      <c r="V102" s="189">
        <f t="shared" si="25"/>
        <v>-0.43772278206823056</v>
      </c>
    </row>
    <row r="103" spans="1:29" ht="18.75" customHeight="1" x14ac:dyDescent="0.2">
      <c r="A103" s="90"/>
      <c r="B103" s="90"/>
      <c r="D103" s="152"/>
      <c r="E103" s="344"/>
      <c r="F103" s="90"/>
      <c r="G103" s="90"/>
      <c r="H103" s="90"/>
      <c r="I103" s="164"/>
      <c r="J103" s="155"/>
      <c r="K103" s="337"/>
      <c r="L103" s="89"/>
      <c r="M103" s="89"/>
      <c r="N103" s="216"/>
      <c r="O103" s="155"/>
      <c r="P103" s="337"/>
      <c r="Q103" s="90"/>
      <c r="R103" s="157"/>
      <c r="S103" s="90"/>
      <c r="T103" s="197">
        <f>STDEV(T87:T101)</f>
        <v>0.40726994496369989</v>
      </c>
      <c r="U103" s="197">
        <f t="shared" ref="U103:V103" si="26">STDEV(U87:U101)</f>
        <v>0.40120764283112892</v>
      </c>
      <c r="V103" s="197">
        <f t="shared" si="26"/>
        <v>0.50795533936512038</v>
      </c>
    </row>
    <row r="104" spans="1:29" ht="18.75" customHeight="1" x14ac:dyDescent="0.2">
      <c r="A104" s="90" t="s">
        <v>559</v>
      </c>
      <c r="B104" s="90" t="s">
        <v>563</v>
      </c>
      <c r="C104" s="88">
        <v>2022</v>
      </c>
      <c r="D104" s="152" t="s">
        <v>564</v>
      </c>
      <c r="E104" s="259" t="s">
        <v>564</v>
      </c>
      <c r="F104" s="90">
        <v>1</v>
      </c>
      <c r="G104" s="90">
        <v>1</v>
      </c>
      <c r="H104" s="90"/>
      <c r="I104" s="164">
        <v>81.400000000000006</v>
      </c>
      <c r="J104" s="155">
        <v>6.3</v>
      </c>
      <c r="K104" s="88">
        <v>20</v>
      </c>
      <c r="L104" s="89">
        <v>702.3</v>
      </c>
      <c r="M104" s="89"/>
      <c r="N104" s="163">
        <v>87.4</v>
      </c>
      <c r="O104" s="155">
        <v>7.9</v>
      </c>
      <c r="P104" s="88">
        <v>40</v>
      </c>
      <c r="Q104" s="90"/>
      <c r="R104" s="157">
        <f>(N104-I104)/SQRT((O104^2+J104^2)/2)</f>
        <v>0.8397565059148091</v>
      </c>
      <c r="S104" s="90">
        <v>-1</v>
      </c>
      <c r="T104" s="174">
        <f>(N104-I104)/SQRT((((P104-1)*O104^2) + ((K104-1)*J104^2))/(P104+K104-2))*S104</f>
        <v>-0.80928087926573489</v>
      </c>
      <c r="U104" s="174">
        <f>T104*(1-(3/(4*(K104+P104-2) -1)))</f>
        <v>-0.7987707379765695</v>
      </c>
      <c r="V104" s="174">
        <f>((N104-I104)/O104)*S104 * (1-(3/(4*(K104+P104-2)-1)))</f>
        <v>-0.74963011671872426</v>
      </c>
      <c r="W104" s="343">
        <f>V116-(V117*2.5)</f>
        <v>-1.8261305272079473</v>
      </c>
      <c r="X104" s="90">
        <v>1</v>
      </c>
    </row>
    <row r="105" spans="1:29" ht="18.75" customHeight="1" x14ac:dyDescent="0.2">
      <c r="A105" s="90" t="s">
        <v>559</v>
      </c>
      <c r="B105" s="90" t="s">
        <v>563</v>
      </c>
      <c r="C105" s="88">
        <v>2023</v>
      </c>
      <c r="D105" s="152" t="s">
        <v>565</v>
      </c>
      <c r="E105" s="259" t="s">
        <v>566</v>
      </c>
      <c r="F105" s="90">
        <v>1</v>
      </c>
      <c r="G105" s="90">
        <v>2</v>
      </c>
      <c r="H105" s="90"/>
      <c r="I105" s="164">
        <v>816</v>
      </c>
      <c r="J105" s="155">
        <v>306.5</v>
      </c>
      <c r="K105" s="88">
        <v>20</v>
      </c>
      <c r="L105" s="89">
        <v>702.3</v>
      </c>
      <c r="M105" s="89"/>
      <c r="N105" s="163">
        <v>771.6</v>
      </c>
      <c r="O105" s="155">
        <v>282.39999999999998</v>
      </c>
      <c r="P105" s="88">
        <v>40</v>
      </c>
      <c r="Q105" s="90"/>
      <c r="R105" s="157">
        <f>(N105-I105)/SQRT((O105^2+J105^2)/2)</f>
        <v>-0.15066349838712362</v>
      </c>
      <c r="S105" s="90">
        <v>1</v>
      </c>
      <c r="T105" s="174">
        <f>(N105-I105)/SQRT((((P105-1)*O105^2) + ((K105-1)*J105^2))/(P105+K105-2))*S105</f>
        <v>-0.15283198646924889</v>
      </c>
      <c r="U105" s="174">
        <f>T105*(1-(3/(4*(K105+P105-2) -1)))</f>
        <v>-0.15084715547614178</v>
      </c>
      <c r="V105" s="174">
        <f>((N105-I105)/O105)*S105 * (1-(3/(4*(K105+P105-2)-1)))</f>
        <v>-0.15518192855303331</v>
      </c>
      <c r="X105" s="90">
        <v>1</v>
      </c>
    </row>
    <row r="106" spans="1:29" ht="18.75" customHeight="1" x14ac:dyDescent="0.2">
      <c r="A106" s="90" t="s">
        <v>559</v>
      </c>
      <c r="B106" s="88" t="s">
        <v>546</v>
      </c>
      <c r="C106" s="88">
        <v>2021</v>
      </c>
      <c r="D106" s="152" t="s">
        <v>547</v>
      </c>
      <c r="E106" s="174" t="s">
        <v>211</v>
      </c>
      <c r="F106" s="88">
        <v>2</v>
      </c>
      <c r="G106" s="90">
        <v>3</v>
      </c>
      <c r="H106" s="90"/>
      <c r="I106" s="198" t="s">
        <v>75</v>
      </c>
      <c r="J106" s="198" t="s">
        <v>75</v>
      </c>
      <c r="K106" s="88">
        <v>153</v>
      </c>
      <c r="L106" s="89">
        <v>908</v>
      </c>
      <c r="M106" s="89"/>
      <c r="N106" s="163" t="s">
        <v>75</v>
      </c>
      <c r="O106" s="155" t="s">
        <v>75</v>
      </c>
      <c r="P106" s="88">
        <v>76</v>
      </c>
      <c r="R106" s="157">
        <v>0.33</v>
      </c>
      <c r="S106" s="90">
        <v>-1</v>
      </c>
      <c r="T106" s="163" t="s">
        <v>75</v>
      </c>
      <c r="U106" s="155" t="s">
        <v>75</v>
      </c>
      <c r="V106" s="174">
        <v>-0.33</v>
      </c>
      <c r="X106" s="90">
        <v>1</v>
      </c>
      <c r="Z106" s="155" t="s">
        <v>75</v>
      </c>
      <c r="AB106" s="345">
        <v>1</v>
      </c>
      <c r="AC106" s="345">
        <v>-4.0149999999999997</v>
      </c>
    </row>
    <row r="107" spans="1:29" ht="18.75" customHeight="1" x14ac:dyDescent="0.2">
      <c r="A107" s="90" t="s">
        <v>559</v>
      </c>
      <c r="B107" s="88" t="s">
        <v>546</v>
      </c>
      <c r="C107" s="88">
        <v>2021</v>
      </c>
      <c r="D107" s="152" t="s">
        <v>560</v>
      </c>
      <c r="E107" s="174" t="s">
        <v>561</v>
      </c>
      <c r="F107" s="88">
        <v>2</v>
      </c>
      <c r="G107" s="90">
        <v>4</v>
      </c>
      <c r="H107" s="90"/>
      <c r="I107" s="198" t="s">
        <v>75</v>
      </c>
      <c r="J107" s="198" t="s">
        <v>75</v>
      </c>
      <c r="K107" s="88">
        <v>153</v>
      </c>
      <c r="L107" s="89">
        <v>908</v>
      </c>
      <c r="M107" s="89"/>
      <c r="N107" s="163" t="s">
        <v>75</v>
      </c>
      <c r="O107" s="155" t="s">
        <v>75</v>
      </c>
      <c r="P107" s="88">
        <v>76</v>
      </c>
      <c r="R107" s="157">
        <v>0.33</v>
      </c>
      <c r="S107" s="90">
        <v>-1</v>
      </c>
      <c r="T107" s="163" t="s">
        <v>75</v>
      </c>
      <c r="U107" s="155" t="s">
        <v>75</v>
      </c>
      <c r="V107" s="174">
        <v>-0.47</v>
      </c>
      <c r="X107" s="90">
        <v>1</v>
      </c>
      <c r="Z107" s="155" t="s">
        <v>75</v>
      </c>
      <c r="AB107" s="345">
        <v>0.83</v>
      </c>
      <c r="AC107" s="345">
        <v>-6.9560000000000004</v>
      </c>
    </row>
    <row r="108" spans="1:29" ht="18.75" customHeight="1" x14ac:dyDescent="0.2">
      <c r="A108" s="90" t="s">
        <v>559</v>
      </c>
      <c r="B108" s="90" t="s">
        <v>33</v>
      </c>
      <c r="C108" s="88">
        <v>2005</v>
      </c>
      <c r="D108" s="152" t="s">
        <v>203</v>
      </c>
      <c r="E108" s="174" t="s">
        <v>204</v>
      </c>
      <c r="F108" s="88">
        <v>3</v>
      </c>
      <c r="G108" s="90">
        <v>5</v>
      </c>
      <c r="H108" s="90"/>
      <c r="I108" s="164">
        <v>95.18</v>
      </c>
      <c r="J108" s="199">
        <v>3.46</v>
      </c>
      <c r="K108" s="90">
        <v>25</v>
      </c>
      <c r="L108" s="89">
        <v>758.79</v>
      </c>
      <c r="M108" s="89"/>
      <c r="N108" s="164">
        <v>94.6</v>
      </c>
      <c r="O108" s="199">
        <v>3.7</v>
      </c>
      <c r="P108" s="90">
        <v>25</v>
      </c>
      <c r="Q108" s="90"/>
      <c r="R108" s="157">
        <f t="shared" ref="R108:R115" si="27">(N108-I108)/SQRT((O108^2+J108^2)/2)</f>
        <v>-0.16192023513561832</v>
      </c>
      <c r="S108" s="90">
        <v>-1</v>
      </c>
      <c r="T108" s="174">
        <f t="shared" ref="T108:T115" si="28">(N108-I108)/SQRT((((P108-1)*O108^2) + ((K108-1)*J108^2))/(P108+K108-2))*S108</f>
        <v>0.16192023513561829</v>
      </c>
      <c r="U108" s="174">
        <f t="shared" ref="U108:U115" si="29">T108*(1-(3/(4*(K108+P108-2) -1)))</f>
        <v>0.15937698536909026</v>
      </c>
      <c r="V108" s="174">
        <f t="shared" ref="V108:V115" si="30">((N108-I108)/O108)*S108 * (1-(3/(4*(K108+P108-2)-1)))</f>
        <v>0.15429460874487386</v>
      </c>
      <c r="X108" s="90">
        <v>2</v>
      </c>
      <c r="Y108" s="90" t="s">
        <v>31</v>
      </c>
      <c r="Z108" s="88" t="s">
        <v>32</v>
      </c>
      <c r="AA108" s="90" t="s">
        <v>31</v>
      </c>
    </row>
    <row r="109" spans="1:29" ht="18.75" customHeight="1" x14ac:dyDescent="0.2">
      <c r="A109" s="90" t="s">
        <v>559</v>
      </c>
      <c r="B109" s="90" t="s">
        <v>38</v>
      </c>
      <c r="C109" s="88">
        <v>2007</v>
      </c>
      <c r="D109" s="152" t="s">
        <v>203</v>
      </c>
      <c r="E109" s="174" t="s">
        <v>205</v>
      </c>
      <c r="F109" s="88">
        <v>4</v>
      </c>
      <c r="G109" s="90">
        <v>6</v>
      </c>
      <c r="H109" s="90"/>
      <c r="I109" s="164">
        <v>92.43</v>
      </c>
      <c r="J109" s="199">
        <v>4.99</v>
      </c>
      <c r="K109" s="90">
        <v>25</v>
      </c>
      <c r="L109" s="89">
        <v>1285.68</v>
      </c>
      <c r="M109" s="89"/>
      <c r="N109" s="164">
        <v>93.88</v>
      </c>
      <c r="O109" s="199">
        <v>4.8600000000000003</v>
      </c>
      <c r="P109" s="90">
        <v>45</v>
      </c>
      <c r="Q109" s="90"/>
      <c r="R109" s="157">
        <f t="shared" si="27"/>
        <v>0.29439060535135325</v>
      </c>
      <c r="S109" s="90">
        <v>-1</v>
      </c>
      <c r="T109" s="174">
        <f t="shared" si="28"/>
        <v>-0.29553985358919804</v>
      </c>
      <c r="U109" s="174">
        <f t="shared" si="29"/>
        <v>-0.29226819469337667</v>
      </c>
      <c r="V109" s="174">
        <f t="shared" si="30"/>
        <v>-0.29505109865913243</v>
      </c>
      <c r="X109" s="90">
        <v>2</v>
      </c>
      <c r="Y109" s="90" t="s">
        <v>31</v>
      </c>
      <c r="Z109" s="88" t="s">
        <v>32</v>
      </c>
      <c r="AA109" s="90" t="s">
        <v>31</v>
      </c>
    </row>
    <row r="110" spans="1:29" ht="18.75" customHeight="1" x14ac:dyDescent="0.2">
      <c r="A110" s="90" t="s">
        <v>559</v>
      </c>
      <c r="B110" s="90" t="s">
        <v>38</v>
      </c>
      <c r="C110" s="88">
        <v>2007</v>
      </c>
      <c r="D110" s="152" t="s">
        <v>206</v>
      </c>
      <c r="E110" s="174" t="s">
        <v>207</v>
      </c>
      <c r="F110" s="88">
        <v>4</v>
      </c>
      <c r="G110" s="90">
        <v>7</v>
      </c>
      <c r="H110" s="90"/>
      <c r="I110" s="164">
        <v>0.84</v>
      </c>
      <c r="J110" s="199">
        <v>0.68</v>
      </c>
      <c r="K110" s="90">
        <v>25</v>
      </c>
      <c r="L110" s="89">
        <v>1285.68</v>
      </c>
      <c r="M110" s="89"/>
      <c r="N110" s="164">
        <v>0.63</v>
      </c>
      <c r="O110" s="199">
        <v>0.26</v>
      </c>
      <c r="P110" s="90">
        <v>45</v>
      </c>
      <c r="Q110" s="90"/>
      <c r="R110" s="157">
        <f t="shared" si="27"/>
        <v>-0.4079400621900508</v>
      </c>
      <c r="S110" s="90">
        <v>1</v>
      </c>
      <c r="T110" s="174">
        <f t="shared" si="28"/>
        <v>-0.46163192738837849</v>
      </c>
      <c r="U110" s="174">
        <f t="shared" si="29"/>
        <v>-0.45652161084902376</v>
      </c>
      <c r="V110" s="174">
        <f t="shared" si="30"/>
        <v>-0.79875106443372113</v>
      </c>
      <c r="X110" s="90">
        <v>2</v>
      </c>
      <c r="Y110" s="90" t="s">
        <v>31</v>
      </c>
      <c r="Z110" s="88" t="s">
        <v>32</v>
      </c>
      <c r="AA110" s="90" t="s">
        <v>31</v>
      </c>
    </row>
    <row r="111" spans="1:29" ht="18.75" customHeight="1" x14ac:dyDescent="0.2">
      <c r="A111" s="90" t="s">
        <v>559</v>
      </c>
      <c r="B111" s="90" t="s">
        <v>41</v>
      </c>
      <c r="C111" s="88">
        <v>2007</v>
      </c>
      <c r="D111" s="152" t="s">
        <v>208</v>
      </c>
      <c r="E111" s="174" t="s">
        <v>209</v>
      </c>
      <c r="F111" s="90">
        <v>5</v>
      </c>
      <c r="G111" s="90">
        <v>8</v>
      </c>
      <c r="H111" s="90"/>
      <c r="I111" s="164">
        <v>106</v>
      </c>
      <c r="J111" s="199">
        <v>5.4</v>
      </c>
      <c r="K111" s="90">
        <v>12</v>
      </c>
      <c r="L111" s="175" t="s">
        <v>44</v>
      </c>
      <c r="M111" s="175"/>
      <c r="N111" s="164">
        <v>105</v>
      </c>
      <c r="O111" s="199">
        <v>5.2</v>
      </c>
      <c r="P111" s="90">
        <v>12</v>
      </c>
      <c r="Q111" s="90"/>
      <c r="R111" s="157">
        <f t="shared" si="27"/>
        <v>-0.18864566947613623</v>
      </c>
      <c r="S111" s="90">
        <v>-1</v>
      </c>
      <c r="T111" s="174">
        <f t="shared" si="28"/>
        <v>0.18864566947613623</v>
      </c>
      <c r="U111" s="174">
        <f t="shared" si="29"/>
        <v>0.18214064639075223</v>
      </c>
      <c r="V111" s="174">
        <f t="shared" si="30"/>
        <v>0.1856763925729443</v>
      </c>
      <c r="X111" s="90">
        <v>1</v>
      </c>
      <c r="Y111" s="90" t="s">
        <v>63</v>
      </c>
      <c r="Z111" s="334" t="s">
        <v>210</v>
      </c>
      <c r="AA111" s="90" t="s">
        <v>48</v>
      </c>
    </row>
    <row r="112" spans="1:29" ht="18.75" customHeight="1" x14ac:dyDescent="0.2">
      <c r="A112" s="90" t="s">
        <v>559</v>
      </c>
      <c r="B112" s="90" t="s">
        <v>60</v>
      </c>
      <c r="C112" s="88">
        <v>2017</v>
      </c>
      <c r="D112" s="152" t="s">
        <v>211</v>
      </c>
      <c r="E112" s="174" t="s">
        <v>211</v>
      </c>
      <c r="F112" s="90">
        <v>6</v>
      </c>
      <c r="G112" s="90">
        <v>9</v>
      </c>
      <c r="H112" s="90"/>
      <c r="I112" s="164">
        <v>6.1</v>
      </c>
      <c r="J112" s="199">
        <v>1</v>
      </c>
      <c r="K112" s="90">
        <v>37</v>
      </c>
      <c r="L112" s="89">
        <v>720</v>
      </c>
      <c r="M112" s="89"/>
      <c r="N112" s="164">
        <v>6.5</v>
      </c>
      <c r="O112" s="199">
        <v>0.9</v>
      </c>
      <c r="P112" s="90">
        <v>30</v>
      </c>
      <c r="Q112" s="90"/>
      <c r="R112" s="157">
        <f t="shared" si="27"/>
        <v>0.42047066498210972</v>
      </c>
      <c r="S112" s="90">
        <v>-1</v>
      </c>
      <c r="T112" s="174">
        <f t="shared" si="28"/>
        <v>-0.41811397651944299</v>
      </c>
      <c r="U112" s="174">
        <f t="shared" si="29"/>
        <v>-0.41327095748639925</v>
      </c>
      <c r="V112" s="174">
        <f t="shared" si="30"/>
        <v>-0.43929643929643969</v>
      </c>
      <c r="X112" s="90">
        <v>1</v>
      </c>
      <c r="Y112" s="90" t="s">
        <v>63</v>
      </c>
      <c r="Z112" s="88" t="s">
        <v>32</v>
      </c>
      <c r="AA112" s="90" t="s">
        <v>48</v>
      </c>
    </row>
    <row r="113" spans="1:27" ht="18.75" customHeight="1" x14ac:dyDescent="0.2">
      <c r="A113" s="90" t="s">
        <v>559</v>
      </c>
      <c r="B113" s="90" t="s">
        <v>60</v>
      </c>
      <c r="C113" s="88">
        <v>2017</v>
      </c>
      <c r="D113" s="152" t="s">
        <v>212</v>
      </c>
      <c r="E113" s="174" t="s">
        <v>213</v>
      </c>
      <c r="F113" s="90">
        <v>6</v>
      </c>
      <c r="G113" s="90">
        <v>10</v>
      </c>
      <c r="H113" s="90"/>
      <c r="I113" s="164">
        <v>48.2</v>
      </c>
      <c r="J113" s="199">
        <v>12.5</v>
      </c>
      <c r="K113" s="90">
        <v>37</v>
      </c>
      <c r="L113" s="89">
        <v>720</v>
      </c>
      <c r="M113" s="89"/>
      <c r="N113" s="164">
        <v>39.299999999999997</v>
      </c>
      <c r="O113" s="199">
        <v>10.4</v>
      </c>
      <c r="P113" s="90">
        <v>30</v>
      </c>
      <c r="Q113" s="90"/>
      <c r="R113" s="157">
        <f t="shared" si="27"/>
        <v>-0.7740447447147154</v>
      </c>
      <c r="S113" s="90">
        <v>1</v>
      </c>
      <c r="T113" s="174">
        <f t="shared" si="28"/>
        <v>-0.76657381891955134</v>
      </c>
      <c r="U113" s="174">
        <f t="shared" si="29"/>
        <v>-0.75769458549577273</v>
      </c>
      <c r="V113" s="174">
        <f t="shared" si="30"/>
        <v>-0.8458568458568464</v>
      </c>
      <c r="X113" s="90">
        <v>1</v>
      </c>
      <c r="Y113" s="90" t="s">
        <v>63</v>
      </c>
      <c r="Z113" s="88" t="s">
        <v>32</v>
      </c>
      <c r="AA113" s="90" t="s">
        <v>48</v>
      </c>
    </row>
    <row r="114" spans="1:27" ht="18.75" customHeight="1" x14ac:dyDescent="0.2">
      <c r="A114" s="90" t="s">
        <v>559</v>
      </c>
      <c r="B114" s="90" t="s">
        <v>509</v>
      </c>
      <c r="C114" s="88">
        <v>2021</v>
      </c>
      <c r="D114" s="152" t="s">
        <v>211</v>
      </c>
      <c r="E114" s="259" t="s">
        <v>211</v>
      </c>
      <c r="F114" s="88">
        <v>7</v>
      </c>
      <c r="G114" s="90">
        <v>11</v>
      </c>
      <c r="H114" s="90"/>
      <c r="I114" s="163">
        <v>14</v>
      </c>
      <c r="J114" s="155">
        <v>3.2</v>
      </c>
      <c r="K114" s="88">
        <v>19</v>
      </c>
      <c r="L114" s="89">
        <v>890</v>
      </c>
      <c r="M114" s="89"/>
      <c r="N114" s="163">
        <v>19</v>
      </c>
      <c r="O114" s="155">
        <v>2.36</v>
      </c>
      <c r="P114" s="88">
        <v>25</v>
      </c>
      <c r="R114" s="157">
        <f t="shared" si="27"/>
        <v>1.7783799821167132</v>
      </c>
      <c r="S114" s="90">
        <v>-1</v>
      </c>
      <c r="T114" s="174">
        <f t="shared" si="28"/>
        <v>-1.8171368894674385</v>
      </c>
      <c r="U114" s="174">
        <f t="shared" si="29"/>
        <v>-1.7844937118123347</v>
      </c>
      <c r="V114" s="336">
        <f>((N114-I114)/O114)*S114 * (1-(3/(4*(K114+P114-2)-1)))</f>
        <v>-2.0805845935248146</v>
      </c>
      <c r="X114" s="90">
        <v>2</v>
      </c>
      <c r="Z114" s="88" t="s">
        <v>32</v>
      </c>
      <c r="AA114" s="90"/>
    </row>
    <row r="115" spans="1:27" ht="18.75" customHeight="1" x14ac:dyDescent="0.2">
      <c r="A115" s="90" t="s">
        <v>559</v>
      </c>
      <c r="B115" s="88" t="s">
        <v>77</v>
      </c>
      <c r="C115" s="88">
        <v>2020</v>
      </c>
      <c r="D115" s="152" t="s">
        <v>211</v>
      </c>
      <c r="E115" s="174" t="s">
        <v>211</v>
      </c>
      <c r="F115" s="88">
        <v>8</v>
      </c>
      <c r="G115" s="90">
        <v>12</v>
      </c>
      <c r="H115" s="90"/>
      <c r="I115" s="163">
        <v>5.9</v>
      </c>
      <c r="J115" s="155">
        <v>0.9</v>
      </c>
      <c r="K115" s="88">
        <v>19</v>
      </c>
      <c r="L115" s="89">
        <v>1042</v>
      </c>
      <c r="M115" s="89"/>
      <c r="N115" s="163">
        <v>5.9</v>
      </c>
      <c r="O115" s="155">
        <v>1.1000000000000001</v>
      </c>
      <c r="P115" s="88">
        <v>19</v>
      </c>
      <c r="R115" s="157">
        <f t="shared" si="27"/>
        <v>0</v>
      </c>
      <c r="S115" s="90">
        <v>-1</v>
      </c>
      <c r="T115" s="174">
        <f t="shared" si="28"/>
        <v>0</v>
      </c>
      <c r="U115" s="174">
        <f t="shared" si="29"/>
        <v>0</v>
      </c>
      <c r="V115" s="174">
        <f t="shared" si="30"/>
        <v>0</v>
      </c>
      <c r="X115" s="90">
        <v>1</v>
      </c>
      <c r="Y115" s="90" t="s">
        <v>63</v>
      </c>
      <c r="Z115" s="156" t="s">
        <v>44</v>
      </c>
      <c r="AA115" s="90" t="s">
        <v>48</v>
      </c>
    </row>
    <row r="116" spans="1:27" ht="18.75" customHeight="1" x14ac:dyDescent="0.2">
      <c r="A116" s="90"/>
      <c r="D116" s="152"/>
      <c r="E116" s="174"/>
      <c r="F116" s="173">
        <v>8</v>
      </c>
      <c r="G116" s="173">
        <v>12</v>
      </c>
      <c r="H116" s="173"/>
      <c r="I116" s="164"/>
      <c r="J116" s="155">
        <f>AVERAGE(J108:J115)</f>
        <v>4.0162500000000003</v>
      </c>
      <c r="K116" s="338">
        <f>AVERAGE(K104,K106,K108,K109,K111,K112,K114,K115)</f>
        <v>38.75</v>
      </c>
      <c r="L116" s="338">
        <f>SUM(L104,L106,L108,L109,L111,L112,L114,L115)</f>
        <v>6306.77</v>
      </c>
      <c r="M116" s="338"/>
      <c r="N116" s="164"/>
      <c r="O116" s="155">
        <f>AVERAGE(O108:O115)</f>
        <v>3.5975000000000001</v>
      </c>
      <c r="P116" s="337">
        <f>SUM(P104,P106,P108,P109,P111,P112,P114,P115)</f>
        <v>272</v>
      </c>
      <c r="Q116" s="90"/>
      <c r="R116" s="157"/>
      <c r="S116" s="90"/>
      <c r="T116" s="189">
        <f>AVERAGE(T104:T115)</f>
        <v>-0.4370543427007238</v>
      </c>
      <c r="U116" s="189">
        <f t="shared" ref="U116" si="31">AVERAGE(U104:U115)</f>
        <v>-0.43123493220297765</v>
      </c>
      <c r="V116" s="189">
        <f>AVERAGE(V115,V104:V113)</f>
        <v>-0.34034513565455266</v>
      </c>
      <c r="W116" s="189"/>
      <c r="AA116" s="90"/>
    </row>
    <row r="117" spans="1:27" ht="18.75" customHeight="1" x14ac:dyDescent="0.2">
      <c r="A117" s="90"/>
      <c r="D117" s="152"/>
      <c r="E117" s="174"/>
      <c r="G117" s="90"/>
      <c r="H117" s="90"/>
      <c r="I117" s="163"/>
      <c r="J117" s="155"/>
      <c r="L117" s="89"/>
      <c r="M117" s="89"/>
      <c r="N117" s="163"/>
      <c r="O117" s="155"/>
      <c r="R117" s="157"/>
      <c r="S117" s="90"/>
      <c r="T117" s="197">
        <f>STDEV(T104:T115)</f>
        <v>0.59580221902696984</v>
      </c>
      <c r="U117" s="197">
        <f t="shared" ref="U117" si="32">STDEV(U104:U115)</f>
        <v>0.58527055307452114</v>
      </c>
      <c r="V117" s="189">
        <f>STDEV(V116,V104:V114)</f>
        <v>0.59431415662135789</v>
      </c>
      <c r="W117" s="88"/>
      <c r="AA117" s="90"/>
    </row>
    <row r="118" spans="1:27" ht="18.75" customHeight="1" x14ac:dyDescent="0.2">
      <c r="A118" s="90"/>
      <c r="D118" s="152"/>
      <c r="E118" s="174"/>
      <c r="G118" s="90"/>
      <c r="H118" s="90"/>
      <c r="I118" s="163"/>
      <c r="J118" s="155"/>
      <c r="L118" s="89"/>
      <c r="M118" s="89"/>
      <c r="N118" s="163"/>
      <c r="O118" s="155"/>
      <c r="R118" s="157"/>
      <c r="S118" s="90"/>
      <c r="T118" s="197"/>
      <c r="U118" s="197"/>
      <c r="V118" s="197"/>
      <c r="W118" s="88"/>
      <c r="AA118" s="90"/>
    </row>
    <row r="119" spans="1:27" ht="18.75" customHeight="1" x14ac:dyDescent="0.2">
      <c r="A119" s="90" t="s">
        <v>214</v>
      </c>
      <c r="B119" s="90" t="s">
        <v>28</v>
      </c>
      <c r="C119" s="88">
        <v>2004</v>
      </c>
      <c r="D119" s="152" t="s">
        <v>215</v>
      </c>
      <c r="E119" s="174" t="s">
        <v>216</v>
      </c>
      <c r="F119" s="90">
        <v>1</v>
      </c>
      <c r="G119" s="90">
        <v>1</v>
      </c>
      <c r="H119" s="90"/>
      <c r="I119" s="164">
        <v>13.53</v>
      </c>
      <c r="J119" s="199">
        <v>3.25</v>
      </c>
      <c r="K119" s="90">
        <v>20</v>
      </c>
      <c r="L119" s="89">
        <v>858.5</v>
      </c>
      <c r="M119" s="89"/>
      <c r="N119" s="164">
        <v>17.62</v>
      </c>
      <c r="O119" s="199">
        <v>3.57</v>
      </c>
      <c r="P119" s="90">
        <v>20</v>
      </c>
      <c r="Q119" s="90"/>
      <c r="R119" s="157">
        <f t="shared" ref="R119:R127" si="33">(N119-I119)/SQRT((O119^2+J119^2)/2)</f>
        <v>1.1980953733222595</v>
      </c>
      <c r="S119" s="90">
        <v>-1</v>
      </c>
      <c r="T119" s="174">
        <f t="shared" ref="T119:T127" si="34">(N119-I119)/SQRT((((P119-1)*O119^2) + ((K119-1)*J119^2))/(P119+K119-2))*S119</f>
        <v>-1.1980953733222595</v>
      </c>
      <c r="U119" s="174">
        <f t="shared" ref="U119:U127" si="35">T119*(1-(3/(4*(K119+P119-2) -1)))</f>
        <v>-1.1742921539847311</v>
      </c>
      <c r="V119" s="174">
        <f t="shared" ref="V119:V127" si="36">((N119-I119)/O119)*S119 * (1-(3/(4*(K119+P119-2)-1)))</f>
        <v>-1.1228968408555482</v>
      </c>
      <c r="W119" s="343">
        <f>V128-(V129*2.5)</f>
        <v>-2.6150327281413763</v>
      </c>
      <c r="X119" s="90">
        <v>2</v>
      </c>
      <c r="Y119" s="90" t="s">
        <v>31</v>
      </c>
      <c r="Z119" s="88" t="s">
        <v>32</v>
      </c>
      <c r="AA119" s="90" t="s">
        <v>31</v>
      </c>
    </row>
    <row r="120" spans="1:27" ht="18.75" customHeight="1" x14ac:dyDescent="0.2">
      <c r="A120" s="90" t="s">
        <v>214</v>
      </c>
      <c r="B120" s="90" t="s">
        <v>159</v>
      </c>
      <c r="C120" s="88">
        <v>2017</v>
      </c>
      <c r="D120" s="152" t="s">
        <v>219</v>
      </c>
      <c r="E120" s="174" t="s">
        <v>220</v>
      </c>
      <c r="F120" s="90">
        <v>2</v>
      </c>
      <c r="G120" s="90">
        <v>2</v>
      </c>
      <c r="H120" s="90"/>
      <c r="I120" s="164">
        <v>4.5</v>
      </c>
      <c r="J120" s="199">
        <v>2.6</v>
      </c>
      <c r="K120" s="90">
        <v>57</v>
      </c>
      <c r="L120" s="89">
        <v>655</v>
      </c>
      <c r="M120" s="89"/>
      <c r="N120" s="164">
        <v>3.9</v>
      </c>
      <c r="O120" s="199">
        <v>2.6</v>
      </c>
      <c r="P120" s="90">
        <v>57</v>
      </c>
      <c r="Q120" s="90"/>
      <c r="R120" s="157">
        <f t="shared" si="33"/>
        <v>-0.23076923076923078</v>
      </c>
      <c r="S120" s="90">
        <v>1</v>
      </c>
      <c r="T120" s="174">
        <f t="shared" si="34"/>
        <v>-0.23076923076923078</v>
      </c>
      <c r="U120" s="174">
        <f t="shared" si="35"/>
        <v>-0.22922044398554467</v>
      </c>
      <c r="V120" s="174">
        <f t="shared" si="36"/>
        <v>-0.22922044398554467</v>
      </c>
      <c r="X120" s="90">
        <v>1</v>
      </c>
      <c r="Y120" s="90" t="s">
        <v>63</v>
      </c>
      <c r="Z120" s="88" t="s">
        <v>32</v>
      </c>
      <c r="AA120" s="90" t="s">
        <v>48</v>
      </c>
    </row>
    <row r="121" spans="1:27" ht="18.75" customHeight="1" x14ac:dyDescent="0.2">
      <c r="A121" s="90" t="s">
        <v>214</v>
      </c>
      <c r="B121" s="90" t="s">
        <v>159</v>
      </c>
      <c r="C121" s="88">
        <v>2017</v>
      </c>
      <c r="D121" s="152" t="s">
        <v>221</v>
      </c>
      <c r="E121" s="174" t="s">
        <v>222</v>
      </c>
      <c r="F121" s="90">
        <v>2</v>
      </c>
      <c r="G121" s="90">
        <v>3</v>
      </c>
      <c r="H121" s="90"/>
      <c r="I121" s="164">
        <v>1705</v>
      </c>
      <c r="J121" s="199">
        <v>457</v>
      </c>
      <c r="K121" s="90">
        <v>57</v>
      </c>
      <c r="L121" s="89">
        <v>655</v>
      </c>
      <c r="M121" s="89"/>
      <c r="N121" s="164">
        <v>1539</v>
      </c>
      <c r="O121" s="199">
        <v>318</v>
      </c>
      <c r="P121" s="90">
        <v>57</v>
      </c>
      <c r="Q121" s="90"/>
      <c r="R121" s="157">
        <f t="shared" si="33"/>
        <v>-0.42165878460045436</v>
      </c>
      <c r="S121" s="90">
        <v>1</v>
      </c>
      <c r="T121" s="174">
        <f t="shared" si="34"/>
        <v>-0.42165878460045436</v>
      </c>
      <c r="U121" s="174">
        <f t="shared" si="35"/>
        <v>-0.41882885987159224</v>
      </c>
      <c r="V121" s="174">
        <f t="shared" si="36"/>
        <v>-0.51850913849141023</v>
      </c>
      <c r="X121" s="90">
        <v>1</v>
      </c>
      <c r="Y121" s="90" t="s">
        <v>63</v>
      </c>
      <c r="Z121" s="88" t="s">
        <v>32</v>
      </c>
      <c r="AA121" s="90" t="s">
        <v>48</v>
      </c>
    </row>
    <row r="122" spans="1:27" ht="18.75" customHeight="1" x14ac:dyDescent="0.2">
      <c r="A122" s="90" t="s">
        <v>214</v>
      </c>
      <c r="B122" s="90" t="s">
        <v>159</v>
      </c>
      <c r="C122" s="88">
        <v>2017</v>
      </c>
      <c r="D122" s="152" t="s">
        <v>223</v>
      </c>
      <c r="E122" s="174" t="s">
        <v>224</v>
      </c>
      <c r="F122" s="90">
        <v>2</v>
      </c>
      <c r="G122" s="90">
        <v>4</v>
      </c>
      <c r="H122" s="90"/>
      <c r="I122" s="164">
        <v>98.6</v>
      </c>
      <c r="J122" s="199">
        <v>5.6</v>
      </c>
      <c r="K122" s="90">
        <v>57</v>
      </c>
      <c r="L122" s="89">
        <v>655</v>
      </c>
      <c r="M122" s="89"/>
      <c r="N122" s="164">
        <v>100.7</v>
      </c>
      <c r="O122" s="199">
        <v>3.5</v>
      </c>
      <c r="P122" s="90">
        <v>57</v>
      </c>
      <c r="Q122" s="90"/>
      <c r="R122" s="157">
        <f t="shared" si="33"/>
        <v>0.44971901339751869</v>
      </c>
      <c r="S122" s="90">
        <v>-1</v>
      </c>
      <c r="T122" s="174">
        <f t="shared" si="34"/>
        <v>-0.44971901339751869</v>
      </c>
      <c r="U122" s="174">
        <f t="shared" si="35"/>
        <v>-0.4467007649854548</v>
      </c>
      <c r="V122" s="174">
        <f t="shared" si="36"/>
        <v>-0.59597315436241849</v>
      </c>
      <c r="X122" s="90">
        <v>1</v>
      </c>
      <c r="Y122" s="90" t="s">
        <v>63</v>
      </c>
      <c r="Z122" s="88" t="s">
        <v>32</v>
      </c>
      <c r="AA122" s="90" t="s">
        <v>48</v>
      </c>
    </row>
    <row r="123" spans="1:27" ht="18.75" customHeight="1" x14ac:dyDescent="0.2">
      <c r="A123" s="90" t="s">
        <v>214</v>
      </c>
      <c r="B123" s="90" t="s">
        <v>41</v>
      </c>
      <c r="C123" s="88">
        <v>2017</v>
      </c>
      <c r="D123" s="152" t="s">
        <v>225</v>
      </c>
      <c r="E123" s="174" t="s">
        <v>226</v>
      </c>
      <c r="F123" s="90">
        <v>3</v>
      </c>
      <c r="G123" s="90">
        <v>5</v>
      </c>
      <c r="H123" s="90"/>
      <c r="I123" s="164">
        <v>94</v>
      </c>
      <c r="J123" s="199">
        <v>19.399999999999999</v>
      </c>
      <c r="K123" s="90">
        <v>12</v>
      </c>
      <c r="L123" s="175" t="s">
        <v>44</v>
      </c>
      <c r="M123" s="175"/>
      <c r="N123" s="164">
        <v>96</v>
      </c>
      <c r="O123" s="199">
        <v>11.8</v>
      </c>
      <c r="P123" s="90">
        <v>12</v>
      </c>
      <c r="Q123" s="90"/>
      <c r="R123" s="157">
        <f t="shared" si="33"/>
        <v>0.1245628508079212</v>
      </c>
      <c r="S123" s="90">
        <v>-1</v>
      </c>
      <c r="T123" s="174">
        <f t="shared" si="34"/>
        <v>-0.1245628508079212</v>
      </c>
      <c r="U123" s="174">
        <f t="shared" si="35"/>
        <v>-0.12026758009040668</v>
      </c>
      <c r="V123" s="174">
        <f t="shared" si="36"/>
        <v>-0.1636469900642899</v>
      </c>
      <c r="X123" s="90">
        <v>1</v>
      </c>
      <c r="Y123" s="334" t="s">
        <v>46</v>
      </c>
      <c r="Z123" s="88" t="s">
        <v>32</v>
      </c>
      <c r="AA123" s="334" t="s">
        <v>48</v>
      </c>
    </row>
    <row r="124" spans="1:27" ht="18.75" customHeight="1" x14ac:dyDescent="0.2">
      <c r="A124" s="90" t="s">
        <v>214</v>
      </c>
      <c r="B124" s="90" t="s">
        <v>60</v>
      </c>
      <c r="C124" s="88">
        <v>2017</v>
      </c>
      <c r="D124" s="152" t="s">
        <v>227</v>
      </c>
      <c r="E124" s="174" t="s">
        <v>227</v>
      </c>
      <c r="F124" s="90">
        <v>4</v>
      </c>
      <c r="G124" s="90">
        <v>6</v>
      </c>
      <c r="H124" s="90"/>
      <c r="I124" s="164">
        <v>5.3</v>
      </c>
      <c r="J124" s="199">
        <v>0.9</v>
      </c>
      <c r="K124" s="90">
        <v>37</v>
      </c>
      <c r="L124" s="89">
        <v>720</v>
      </c>
      <c r="M124" s="89"/>
      <c r="N124" s="164">
        <v>5.7</v>
      </c>
      <c r="O124" s="199">
        <v>0.9</v>
      </c>
      <c r="P124" s="90">
        <v>30</v>
      </c>
      <c r="Q124" s="90"/>
      <c r="R124" s="157">
        <f t="shared" si="33"/>
        <v>0.44444444444444481</v>
      </c>
      <c r="S124" s="90">
        <v>-1</v>
      </c>
      <c r="T124" s="174">
        <f t="shared" si="34"/>
        <v>-0.44444444444444481</v>
      </c>
      <c r="U124" s="174">
        <f t="shared" si="35"/>
        <v>-0.43929643929643969</v>
      </c>
      <c r="V124" s="174">
        <f t="shared" si="36"/>
        <v>-0.43929643929643969</v>
      </c>
      <c r="X124" s="90">
        <v>1</v>
      </c>
      <c r="Y124" s="90" t="s">
        <v>63</v>
      </c>
      <c r="Z124" s="88" t="s">
        <v>32</v>
      </c>
      <c r="AA124" s="90" t="s">
        <v>48</v>
      </c>
    </row>
    <row r="125" spans="1:27" ht="18.75" customHeight="1" x14ac:dyDescent="0.2">
      <c r="A125" s="90" t="s">
        <v>214</v>
      </c>
      <c r="B125" s="88" t="s">
        <v>77</v>
      </c>
      <c r="C125" s="88">
        <v>2020</v>
      </c>
      <c r="D125" s="152" t="s">
        <v>227</v>
      </c>
      <c r="E125" s="174" t="s">
        <v>227</v>
      </c>
      <c r="F125" s="88">
        <v>5</v>
      </c>
      <c r="G125" s="90">
        <v>7</v>
      </c>
      <c r="H125" s="90"/>
      <c r="I125" s="163">
        <v>5.9</v>
      </c>
      <c r="J125" s="155">
        <v>1</v>
      </c>
      <c r="K125" s="88">
        <v>19</v>
      </c>
      <c r="L125" s="89">
        <v>1042</v>
      </c>
      <c r="M125" s="89"/>
      <c r="N125" s="163">
        <v>5</v>
      </c>
      <c r="O125" s="155">
        <v>1.1000000000000001</v>
      </c>
      <c r="P125" s="88">
        <v>19</v>
      </c>
      <c r="R125" s="157">
        <f t="shared" si="33"/>
        <v>-0.85617268947808967</v>
      </c>
      <c r="S125" s="90">
        <v>-1</v>
      </c>
      <c r="T125" s="174">
        <f t="shared" si="34"/>
        <v>0.85617268947808967</v>
      </c>
      <c r="U125" s="174">
        <f t="shared" si="35"/>
        <v>0.8382110246638641</v>
      </c>
      <c r="V125" s="174">
        <f t="shared" si="36"/>
        <v>0.80101716465352857</v>
      </c>
      <c r="AA125" s="90"/>
    </row>
    <row r="126" spans="1:27" ht="18.75" customHeight="1" x14ac:dyDescent="0.2">
      <c r="A126" s="90" t="s">
        <v>214</v>
      </c>
      <c r="B126" s="90" t="s">
        <v>76</v>
      </c>
      <c r="C126" s="88">
        <v>1996</v>
      </c>
      <c r="D126" s="152" t="s">
        <v>217</v>
      </c>
      <c r="E126" s="90" t="s">
        <v>218</v>
      </c>
      <c r="F126" s="90">
        <v>6</v>
      </c>
      <c r="G126" s="90">
        <v>8</v>
      </c>
      <c r="H126" s="90"/>
      <c r="I126" s="163">
        <v>9.3000000000000007</v>
      </c>
      <c r="J126" s="155">
        <v>3.65</v>
      </c>
      <c r="K126" s="88">
        <v>11</v>
      </c>
      <c r="L126" s="165">
        <v>1545</v>
      </c>
      <c r="M126" s="165"/>
      <c r="N126" s="163">
        <v>4.68</v>
      </c>
      <c r="O126" s="155">
        <v>2.5299999999999998</v>
      </c>
      <c r="P126" s="88">
        <v>22</v>
      </c>
      <c r="Q126" s="90"/>
      <c r="R126" s="157">
        <f t="shared" si="33"/>
        <v>-1.4711809142647732</v>
      </c>
      <c r="S126" s="90">
        <v>1</v>
      </c>
      <c r="T126" s="174">
        <f t="shared" si="34"/>
        <v>-1.572331617748068</v>
      </c>
      <c r="U126" s="174">
        <f t="shared" si="35"/>
        <v>-1.533982066095676</v>
      </c>
      <c r="V126" s="174">
        <f t="shared" si="36"/>
        <v>-1.7815482502651119</v>
      </c>
      <c r="X126" s="334" t="s">
        <v>75</v>
      </c>
      <c r="Y126" s="334" t="s">
        <v>75</v>
      </c>
      <c r="Z126" s="156" t="s">
        <v>44</v>
      </c>
      <c r="AA126" s="334" t="s">
        <v>75</v>
      </c>
    </row>
    <row r="127" spans="1:27" ht="18" customHeight="1" x14ac:dyDescent="0.2">
      <c r="A127" s="90" t="s">
        <v>214</v>
      </c>
      <c r="B127" s="90" t="s">
        <v>73</v>
      </c>
      <c r="C127" s="88">
        <v>1996</v>
      </c>
      <c r="D127" s="152" t="s">
        <v>217</v>
      </c>
      <c r="E127" s="90" t="s">
        <v>218</v>
      </c>
      <c r="F127" s="90">
        <v>7</v>
      </c>
      <c r="G127" s="90">
        <v>9</v>
      </c>
      <c r="H127" s="90"/>
      <c r="I127" s="163">
        <v>8.9</v>
      </c>
      <c r="J127" s="155">
        <v>4.0599999999999996</v>
      </c>
      <c r="K127" s="88">
        <v>11</v>
      </c>
      <c r="L127" s="165">
        <v>566</v>
      </c>
      <c r="M127" s="165"/>
      <c r="N127" s="163">
        <v>4.68</v>
      </c>
      <c r="O127" s="155">
        <v>2.5299999999999998</v>
      </c>
      <c r="P127" s="88">
        <v>22</v>
      </c>
      <c r="Q127" s="90"/>
      <c r="R127" s="157">
        <f t="shared" si="33"/>
        <v>-1.2475464788947848</v>
      </c>
      <c r="S127" s="90">
        <v>1</v>
      </c>
      <c r="T127" s="174">
        <f t="shared" si="34"/>
        <v>-1.3582279483851356</v>
      </c>
      <c r="U127" s="174">
        <f t="shared" si="35"/>
        <v>-1.3251004374489128</v>
      </c>
      <c r="V127" s="174">
        <f t="shared" si="36"/>
        <v>-1.6273016485105565</v>
      </c>
      <c r="X127" s="334" t="s">
        <v>75</v>
      </c>
      <c r="Y127" s="334" t="s">
        <v>75</v>
      </c>
      <c r="Z127" s="156" t="s">
        <v>44</v>
      </c>
      <c r="AA127" s="334" t="s">
        <v>75</v>
      </c>
    </row>
    <row r="128" spans="1:27" ht="18.75" customHeight="1" x14ac:dyDescent="0.2">
      <c r="A128" s="90"/>
      <c r="B128" s="90"/>
      <c r="D128" s="152"/>
      <c r="E128" s="174"/>
      <c r="F128" s="173">
        <v>7</v>
      </c>
      <c r="G128" s="173">
        <v>9</v>
      </c>
      <c r="H128" s="90"/>
      <c r="I128" s="164"/>
      <c r="J128" s="346">
        <f>AVERAGE(J119:J127)</f>
        <v>55.273333333333333</v>
      </c>
      <c r="K128" s="347">
        <f>AVERAGE(K123:K127,K119:K120)</f>
        <v>23.857142857142858</v>
      </c>
      <c r="L128" s="347">
        <f>SUM(L123:L127,L119:L120)</f>
        <v>5386.5</v>
      </c>
      <c r="M128" s="347"/>
      <c r="N128" s="339"/>
      <c r="O128" s="346">
        <f>AVERAGE(O119:O127)</f>
        <v>38.50333333333333</v>
      </c>
      <c r="P128" s="173">
        <f>SUM(P123:P127,P119:P120)</f>
        <v>182</v>
      </c>
      <c r="Q128" s="90"/>
      <c r="R128" s="157"/>
      <c r="S128" s="90"/>
      <c r="T128" s="189">
        <f>AVERAGE(T119:T127)</f>
        <v>-0.54929295266632705</v>
      </c>
      <c r="U128" s="189">
        <f>AVERAGE(U119:U127)</f>
        <v>-0.53883085789943275</v>
      </c>
      <c r="V128" s="189">
        <f>AVERAGE(V119:V127)</f>
        <v>-0.63081952679753239</v>
      </c>
      <c r="AA128" s="90"/>
    </row>
    <row r="129" spans="1:29" ht="18.75" customHeight="1" x14ac:dyDescent="0.2">
      <c r="A129" s="90"/>
      <c r="B129" s="90"/>
      <c r="D129" s="152"/>
      <c r="E129" s="174"/>
      <c r="F129" s="90"/>
      <c r="G129" s="90"/>
      <c r="H129" s="90"/>
      <c r="I129" s="164"/>
      <c r="J129" s="199"/>
      <c r="K129" s="90"/>
      <c r="L129" s="89"/>
      <c r="M129" s="89"/>
      <c r="N129" s="164"/>
      <c r="O129" s="199"/>
      <c r="P129" s="90"/>
      <c r="Q129" s="90"/>
      <c r="R129" s="157"/>
      <c r="S129" s="90"/>
      <c r="T129" s="197">
        <f>STDEV(T119:T127)</f>
        <v>0.74299342784776656</v>
      </c>
      <c r="U129" s="197">
        <f>STDEV(U119:U127)</f>
        <v>0.72564200402359635</v>
      </c>
      <c r="V129" s="197">
        <f>STDEV(V119:V127)</f>
        <v>0.79368528053753762</v>
      </c>
      <c r="AA129" s="90"/>
    </row>
    <row r="130" spans="1:29" ht="27.75" customHeight="1" x14ac:dyDescent="0.2">
      <c r="A130" s="90" t="s">
        <v>228</v>
      </c>
      <c r="B130" s="88" t="s">
        <v>546</v>
      </c>
      <c r="C130" s="88">
        <v>2021</v>
      </c>
      <c r="D130" s="222" t="s">
        <v>551</v>
      </c>
      <c r="E130" s="259" t="s">
        <v>551</v>
      </c>
      <c r="F130" s="88">
        <v>1</v>
      </c>
      <c r="G130" s="90">
        <v>1</v>
      </c>
      <c r="H130" s="90"/>
      <c r="I130" s="198" t="s">
        <v>75</v>
      </c>
      <c r="J130" s="198" t="s">
        <v>75</v>
      </c>
      <c r="K130" s="88">
        <v>152</v>
      </c>
      <c r="L130" s="89">
        <v>908</v>
      </c>
      <c r="M130" s="89"/>
      <c r="N130" s="198" t="s">
        <v>75</v>
      </c>
      <c r="O130" s="198" t="s">
        <v>75</v>
      </c>
      <c r="P130" s="88">
        <v>76</v>
      </c>
      <c r="R130" s="198" t="s">
        <v>75</v>
      </c>
      <c r="S130" s="198" t="s">
        <v>75</v>
      </c>
      <c r="T130" s="198" t="s">
        <v>75</v>
      </c>
      <c r="U130" s="198" t="s">
        <v>75</v>
      </c>
      <c r="V130" s="174">
        <v>-0.02</v>
      </c>
      <c r="W130" s="343">
        <f>V146-(V147*2.5)</f>
        <v>-1.3295624810440163</v>
      </c>
      <c r="X130" s="90">
        <v>1</v>
      </c>
      <c r="Z130" s="156" t="s">
        <v>44</v>
      </c>
      <c r="AB130" s="88">
        <v>1.22</v>
      </c>
      <c r="AC130" s="88">
        <v>-0.22</v>
      </c>
    </row>
    <row r="131" spans="1:29" ht="27.75" customHeight="1" x14ac:dyDescent="0.2">
      <c r="A131" s="90" t="s">
        <v>228</v>
      </c>
      <c r="B131" s="90" t="s">
        <v>28</v>
      </c>
      <c r="C131" s="88">
        <v>2004</v>
      </c>
      <c r="D131" s="152" t="s">
        <v>630</v>
      </c>
      <c r="E131" s="174" t="s">
        <v>654</v>
      </c>
      <c r="F131" s="90">
        <v>2</v>
      </c>
      <c r="G131" s="90">
        <v>2</v>
      </c>
      <c r="H131" s="90"/>
      <c r="I131" s="164">
        <v>75.760000000000005</v>
      </c>
      <c r="J131" s="199">
        <v>19.5</v>
      </c>
      <c r="K131" s="90">
        <v>20</v>
      </c>
      <c r="L131" s="89">
        <v>858.5</v>
      </c>
      <c r="M131" s="89"/>
      <c r="N131" s="164">
        <v>80.67</v>
      </c>
      <c r="O131" s="199">
        <v>19.21</v>
      </c>
      <c r="P131" s="90">
        <v>20</v>
      </c>
      <c r="Q131" s="90"/>
      <c r="R131" s="157">
        <f t="shared" ref="R131:R144" si="37">(N131-I131)/SQRT((O131^2+J131^2)/2)</f>
        <v>0.25367410080343311</v>
      </c>
      <c r="S131" s="90">
        <v>-1</v>
      </c>
      <c r="T131" s="174">
        <f t="shared" ref="T131:T145" si="38">(N131-I131)/SQRT((((P131-1)*O131^2) + ((K131-1)*J131^2))/(P131+K131-2))*S131</f>
        <v>-0.25367410080343311</v>
      </c>
      <c r="U131" s="174">
        <f t="shared" ref="U131:U145" si="39">T131*(1-(3/(4*(K131+P131-2) -1)))</f>
        <v>-0.2486342180060139</v>
      </c>
      <c r="V131" s="174">
        <f t="shared" ref="V131:V145" si="40">((N131-I131)/O131)*S131 * (1-(3/(4*(K131+P131-2)-1)))</f>
        <v>-0.25051797663330683</v>
      </c>
      <c r="X131" s="90">
        <v>2</v>
      </c>
      <c r="Y131" s="90" t="s">
        <v>31</v>
      </c>
      <c r="Z131" s="88" t="s">
        <v>32</v>
      </c>
      <c r="AA131" s="90" t="s">
        <v>31</v>
      </c>
    </row>
    <row r="132" spans="1:29" ht="27.75" customHeight="1" x14ac:dyDescent="0.2">
      <c r="A132" s="90" t="s">
        <v>228</v>
      </c>
      <c r="B132" s="90" t="s">
        <v>28</v>
      </c>
      <c r="C132" s="88">
        <v>2004</v>
      </c>
      <c r="D132" s="152" t="s">
        <v>623</v>
      </c>
      <c r="E132" s="174" t="s">
        <v>655</v>
      </c>
      <c r="F132" s="90">
        <v>2</v>
      </c>
      <c r="G132" s="90">
        <v>3</v>
      </c>
      <c r="H132" s="90"/>
      <c r="I132" s="164">
        <v>69</v>
      </c>
      <c r="J132" s="199">
        <v>14.63</v>
      </c>
      <c r="K132" s="90">
        <v>20</v>
      </c>
      <c r="L132" s="89">
        <v>858.5</v>
      </c>
      <c r="M132" s="89"/>
      <c r="N132" s="164">
        <v>66.5</v>
      </c>
      <c r="O132" s="199">
        <v>13.4</v>
      </c>
      <c r="P132" s="90">
        <v>20</v>
      </c>
      <c r="Q132" s="90"/>
      <c r="R132" s="157">
        <f t="shared" si="37"/>
        <v>-0.17820881069919003</v>
      </c>
      <c r="S132" s="90">
        <v>-1</v>
      </c>
      <c r="T132" s="174">
        <f t="shared" si="38"/>
        <v>0.17820881069919003</v>
      </c>
      <c r="U132" s="174">
        <f t="shared" si="39"/>
        <v>0.17466823830119288</v>
      </c>
      <c r="V132" s="174">
        <f t="shared" si="40"/>
        <v>0.18286053177819511</v>
      </c>
      <c r="X132" s="90">
        <v>2</v>
      </c>
      <c r="Y132" s="90" t="s">
        <v>31</v>
      </c>
      <c r="Z132" s="88" t="s">
        <v>32</v>
      </c>
      <c r="AA132" s="90" t="s">
        <v>31</v>
      </c>
    </row>
    <row r="133" spans="1:29" ht="27.75" customHeight="1" x14ac:dyDescent="0.2">
      <c r="A133" s="90" t="s">
        <v>228</v>
      </c>
      <c r="B133" s="90" t="s">
        <v>41</v>
      </c>
      <c r="C133" s="88">
        <v>2007</v>
      </c>
      <c r="D133" s="152" t="s">
        <v>232</v>
      </c>
      <c r="E133" s="174" t="s">
        <v>233</v>
      </c>
      <c r="F133" s="90">
        <v>3</v>
      </c>
      <c r="G133" s="90">
        <v>4</v>
      </c>
      <c r="H133" s="90"/>
      <c r="I133" s="164">
        <v>108</v>
      </c>
      <c r="J133" s="199">
        <v>14.2</v>
      </c>
      <c r="K133" s="90">
        <v>12</v>
      </c>
      <c r="L133" s="175" t="s">
        <v>44</v>
      </c>
      <c r="M133" s="175"/>
      <c r="N133" s="164">
        <v>109</v>
      </c>
      <c r="O133" s="199">
        <v>2.7</v>
      </c>
      <c r="P133" s="90">
        <v>12</v>
      </c>
      <c r="Q133" s="90"/>
      <c r="R133" s="157">
        <f t="shared" si="37"/>
        <v>9.7839583600314597E-2</v>
      </c>
      <c r="S133" s="90">
        <v>-1</v>
      </c>
      <c r="T133" s="174">
        <f t="shared" si="38"/>
        <v>-9.783958360031457E-2</v>
      </c>
      <c r="U133" s="174">
        <f t="shared" si="39"/>
        <v>-9.4465804855476135E-2</v>
      </c>
      <c r="V133" s="174">
        <f t="shared" si="40"/>
        <v>-0.35759897828863346</v>
      </c>
      <c r="X133" s="334">
        <v>1</v>
      </c>
      <c r="Y133" s="334" t="s">
        <v>46</v>
      </c>
      <c r="Z133" s="334" t="s">
        <v>234</v>
      </c>
      <c r="AA133" s="90" t="s">
        <v>48</v>
      </c>
    </row>
    <row r="134" spans="1:29" ht="27.75" customHeight="1" x14ac:dyDescent="0.2">
      <c r="A134" s="90" t="s">
        <v>228</v>
      </c>
      <c r="B134" s="90" t="s">
        <v>41</v>
      </c>
      <c r="C134" s="88">
        <v>2007</v>
      </c>
      <c r="D134" s="152" t="s">
        <v>235</v>
      </c>
      <c r="E134" s="174" t="s">
        <v>236</v>
      </c>
      <c r="F134" s="90">
        <v>3</v>
      </c>
      <c r="G134" s="90">
        <v>5</v>
      </c>
      <c r="H134" s="90"/>
      <c r="I134" s="164">
        <v>99</v>
      </c>
      <c r="J134" s="199">
        <v>11.8</v>
      </c>
      <c r="K134" s="90">
        <v>12</v>
      </c>
      <c r="L134" s="175" t="s">
        <v>44</v>
      </c>
      <c r="M134" s="175"/>
      <c r="N134" s="164">
        <v>100</v>
      </c>
      <c r="O134" s="199">
        <v>11.4</v>
      </c>
      <c r="P134" s="90">
        <v>12</v>
      </c>
      <c r="Q134" s="90"/>
      <c r="R134" s="157">
        <f t="shared" si="37"/>
        <v>8.6194086254223923E-2</v>
      </c>
      <c r="S134" s="90">
        <v>-1</v>
      </c>
      <c r="T134" s="174">
        <f t="shared" si="38"/>
        <v>-8.6194086254223923E-2</v>
      </c>
      <c r="U134" s="174">
        <f t="shared" si="39"/>
        <v>-8.3221876383388613E-2</v>
      </c>
      <c r="V134" s="174">
        <f t="shared" si="40"/>
        <v>-8.4694494857834243E-2</v>
      </c>
      <c r="X134" s="334">
        <v>1</v>
      </c>
      <c r="Y134" s="334" t="s">
        <v>46</v>
      </c>
      <c r="Z134" s="334" t="s">
        <v>234</v>
      </c>
      <c r="AA134" s="90" t="s">
        <v>48</v>
      </c>
    </row>
    <row r="135" spans="1:29" ht="27.75" customHeight="1" x14ac:dyDescent="0.2">
      <c r="A135" s="90" t="s">
        <v>228</v>
      </c>
      <c r="B135" s="90" t="s">
        <v>60</v>
      </c>
      <c r="C135" s="88">
        <v>2017</v>
      </c>
      <c r="D135" s="152" t="s">
        <v>237</v>
      </c>
      <c r="E135" s="174" t="s">
        <v>238</v>
      </c>
      <c r="F135" s="90">
        <v>4</v>
      </c>
      <c r="G135" s="90">
        <v>6</v>
      </c>
      <c r="H135" s="90"/>
      <c r="I135" s="164">
        <v>24.1</v>
      </c>
      <c r="J135" s="199">
        <v>11.2</v>
      </c>
      <c r="K135" s="90">
        <v>37</v>
      </c>
      <c r="L135" s="89">
        <v>720</v>
      </c>
      <c r="M135" s="89"/>
      <c r="N135" s="164">
        <v>20.5</v>
      </c>
      <c r="O135" s="199">
        <v>8.4</v>
      </c>
      <c r="P135" s="90">
        <v>30</v>
      </c>
      <c r="Q135" s="90"/>
      <c r="R135" s="157">
        <f t="shared" si="37"/>
        <v>-0.36365491603879602</v>
      </c>
      <c r="S135" s="90">
        <v>1</v>
      </c>
      <c r="T135" s="174">
        <f t="shared" si="38"/>
        <v>-0.35829307866221516</v>
      </c>
      <c r="U135" s="174">
        <f t="shared" si="39"/>
        <v>-0.35414296578195786</v>
      </c>
      <c r="V135" s="174">
        <f t="shared" si="40"/>
        <v>-0.42360728075013804</v>
      </c>
      <c r="X135" s="90">
        <v>1</v>
      </c>
      <c r="Y135" s="90" t="s">
        <v>63</v>
      </c>
      <c r="Z135" s="88" t="s">
        <v>32</v>
      </c>
      <c r="AA135" s="90" t="s">
        <v>48</v>
      </c>
    </row>
    <row r="136" spans="1:29" ht="27.75" customHeight="1" x14ac:dyDescent="0.2">
      <c r="A136" s="90" t="s">
        <v>228</v>
      </c>
      <c r="B136" s="90" t="s">
        <v>60</v>
      </c>
      <c r="C136" s="88">
        <v>2017</v>
      </c>
      <c r="D136" s="152" t="s">
        <v>239</v>
      </c>
      <c r="E136" s="174" t="s">
        <v>240</v>
      </c>
      <c r="F136" s="90">
        <v>4</v>
      </c>
      <c r="G136" s="90">
        <v>7</v>
      </c>
      <c r="H136" s="90"/>
      <c r="I136" s="164">
        <v>16.3</v>
      </c>
      <c r="J136" s="199">
        <v>15.9</v>
      </c>
      <c r="K136" s="90">
        <v>37</v>
      </c>
      <c r="L136" s="89">
        <v>720</v>
      </c>
      <c r="M136" s="89"/>
      <c r="N136" s="164">
        <v>15.1</v>
      </c>
      <c r="O136" s="199">
        <v>15.1</v>
      </c>
      <c r="P136" s="90">
        <v>30</v>
      </c>
      <c r="Q136" s="90"/>
      <c r="R136" s="157">
        <f t="shared" si="37"/>
        <v>-7.7393588110088715E-2</v>
      </c>
      <c r="S136" s="90">
        <v>1</v>
      </c>
      <c r="T136" s="174">
        <f t="shared" si="38"/>
        <v>-7.7179533708483197E-2</v>
      </c>
      <c r="U136" s="174">
        <f t="shared" si="39"/>
        <v>-7.6285562275566404E-2</v>
      </c>
      <c r="V136" s="174">
        <f t="shared" si="40"/>
        <v>-7.8549694443734247E-2</v>
      </c>
      <c r="X136" s="90">
        <v>1</v>
      </c>
      <c r="Y136" s="90" t="s">
        <v>63</v>
      </c>
      <c r="Z136" s="88" t="s">
        <v>32</v>
      </c>
      <c r="AA136" s="90" t="s">
        <v>48</v>
      </c>
    </row>
    <row r="137" spans="1:29" ht="27.75" customHeight="1" x14ac:dyDescent="0.2">
      <c r="A137" s="90" t="s">
        <v>228</v>
      </c>
      <c r="B137" s="90" t="s">
        <v>60</v>
      </c>
      <c r="C137" s="88">
        <v>2017</v>
      </c>
      <c r="D137" s="152" t="s">
        <v>241</v>
      </c>
      <c r="E137" s="174" t="s">
        <v>242</v>
      </c>
      <c r="F137" s="90">
        <v>4</v>
      </c>
      <c r="G137" s="90">
        <v>8</v>
      </c>
      <c r="H137" s="90"/>
      <c r="I137" s="164">
        <v>43.5</v>
      </c>
      <c r="J137" s="199">
        <v>22.9</v>
      </c>
      <c r="K137" s="90">
        <v>37</v>
      </c>
      <c r="L137" s="89">
        <v>720</v>
      </c>
      <c r="M137" s="89"/>
      <c r="N137" s="164">
        <v>47</v>
      </c>
      <c r="O137" s="199">
        <v>14.9</v>
      </c>
      <c r="P137" s="90">
        <v>30</v>
      </c>
      <c r="Q137" s="90"/>
      <c r="R137" s="157">
        <f t="shared" si="37"/>
        <v>0.1811721375541869</v>
      </c>
      <c r="S137" s="90">
        <v>1</v>
      </c>
      <c r="T137" s="174">
        <f t="shared" si="38"/>
        <v>0.17734468327121153</v>
      </c>
      <c r="U137" s="174">
        <f t="shared" si="39"/>
        <v>0.17529049775069558</v>
      </c>
      <c r="V137" s="174">
        <f t="shared" si="40"/>
        <v>0.23217848721204426</v>
      </c>
      <c r="X137" s="90">
        <v>1</v>
      </c>
      <c r="Y137" s="90" t="s">
        <v>63</v>
      </c>
      <c r="Z137" s="88" t="s">
        <v>32</v>
      </c>
      <c r="AA137" s="90" t="s">
        <v>48</v>
      </c>
    </row>
    <row r="138" spans="1:29" ht="27.75" customHeight="1" x14ac:dyDescent="0.2">
      <c r="A138" s="90" t="s">
        <v>228</v>
      </c>
      <c r="B138" s="90" t="s">
        <v>60</v>
      </c>
      <c r="C138" s="88">
        <v>2017</v>
      </c>
      <c r="D138" s="152" t="s">
        <v>243</v>
      </c>
      <c r="E138" s="174" t="s">
        <v>244</v>
      </c>
      <c r="F138" s="90">
        <v>4</v>
      </c>
      <c r="G138" s="90">
        <v>9</v>
      </c>
      <c r="H138" s="90"/>
      <c r="I138" s="164">
        <v>20.399999999999999</v>
      </c>
      <c r="J138" s="199">
        <v>23.7</v>
      </c>
      <c r="K138" s="90">
        <v>37</v>
      </c>
      <c r="L138" s="89">
        <v>720</v>
      </c>
      <c r="M138" s="89"/>
      <c r="N138" s="164">
        <v>29.3</v>
      </c>
      <c r="O138" s="199">
        <v>24.5</v>
      </c>
      <c r="P138" s="90">
        <v>30</v>
      </c>
      <c r="Q138" s="90"/>
      <c r="R138" s="157">
        <f t="shared" si="37"/>
        <v>0.36924375016627187</v>
      </c>
      <c r="S138" s="90">
        <v>1</v>
      </c>
      <c r="T138" s="174">
        <f t="shared" si="38"/>
        <v>0.36990533746144177</v>
      </c>
      <c r="U138" s="174">
        <f t="shared" si="39"/>
        <v>0.36562071965300807</v>
      </c>
      <c r="V138" s="174">
        <f t="shared" si="40"/>
        <v>0.35905759987392649</v>
      </c>
      <c r="X138" s="90">
        <v>1</v>
      </c>
      <c r="Y138" s="90" t="s">
        <v>63</v>
      </c>
      <c r="Z138" s="88" t="s">
        <v>32</v>
      </c>
      <c r="AA138" s="90" t="s">
        <v>48</v>
      </c>
    </row>
    <row r="139" spans="1:29" ht="27.75" customHeight="1" x14ac:dyDescent="0.2">
      <c r="A139" s="90" t="s">
        <v>228</v>
      </c>
      <c r="B139" s="90" t="s">
        <v>509</v>
      </c>
      <c r="C139" s="88">
        <v>2021</v>
      </c>
      <c r="D139" s="152" t="s">
        <v>519</v>
      </c>
      <c r="F139" s="90">
        <v>5</v>
      </c>
      <c r="G139" s="90">
        <v>10</v>
      </c>
      <c r="H139" s="90"/>
      <c r="I139" s="163">
        <v>13</v>
      </c>
      <c r="J139" s="155">
        <v>5.61</v>
      </c>
      <c r="K139" s="88">
        <v>19</v>
      </c>
      <c r="L139" s="165">
        <v>890</v>
      </c>
      <c r="M139" s="165"/>
      <c r="N139" s="163">
        <v>20</v>
      </c>
      <c r="O139" s="155">
        <v>3.14</v>
      </c>
      <c r="P139" s="88">
        <v>25</v>
      </c>
      <c r="Q139" s="90"/>
      <c r="R139" s="157">
        <f t="shared" si="37"/>
        <v>1.5398251319890761</v>
      </c>
      <c r="S139" s="90">
        <v>-1</v>
      </c>
      <c r="T139" s="174">
        <f t="shared" si="38"/>
        <v>-1.6007748318661963</v>
      </c>
      <c r="U139" s="174">
        <f t="shared" si="39"/>
        <v>-1.5720183977608155</v>
      </c>
      <c r="V139" s="336">
        <f t="shared" si="40"/>
        <v>-2.1892520691101871</v>
      </c>
      <c r="X139" s="334"/>
      <c r="Y139" s="334"/>
      <c r="Z139" s="156"/>
      <c r="AA139" s="334"/>
    </row>
    <row r="140" spans="1:29" ht="27.75" customHeight="1" x14ac:dyDescent="0.2">
      <c r="A140" s="90" t="s">
        <v>228</v>
      </c>
      <c r="B140" s="88" t="s">
        <v>77</v>
      </c>
      <c r="C140" s="88">
        <v>2020</v>
      </c>
      <c r="D140" s="152" t="s">
        <v>241</v>
      </c>
      <c r="E140" s="174" t="s">
        <v>245</v>
      </c>
      <c r="F140" s="88">
        <v>6</v>
      </c>
      <c r="G140" s="90">
        <v>11</v>
      </c>
      <c r="H140" s="90"/>
      <c r="I140" s="163">
        <v>20.8</v>
      </c>
      <c r="J140" s="155">
        <v>8.8000000000000007</v>
      </c>
      <c r="K140" s="88">
        <v>19</v>
      </c>
      <c r="L140" s="89">
        <v>1042</v>
      </c>
      <c r="M140" s="89"/>
      <c r="N140" s="163">
        <v>19.7</v>
      </c>
      <c r="O140" s="155">
        <v>6.1</v>
      </c>
      <c r="P140" s="88">
        <v>19</v>
      </c>
      <c r="R140" s="157">
        <f t="shared" si="37"/>
        <v>-0.14528495842730813</v>
      </c>
      <c r="S140" s="90">
        <v>1</v>
      </c>
      <c r="T140" s="174">
        <f t="shared" si="38"/>
        <v>-0.14528495842730813</v>
      </c>
      <c r="U140" s="174">
        <f t="shared" si="39"/>
        <v>-0.14223702223652546</v>
      </c>
      <c r="V140" s="174">
        <f t="shared" si="40"/>
        <v>-0.17654476670870139</v>
      </c>
      <c r="X140" s="90">
        <v>1</v>
      </c>
      <c r="Y140" s="90" t="s">
        <v>63</v>
      </c>
      <c r="Z140" s="156" t="s">
        <v>44</v>
      </c>
      <c r="AA140" s="90" t="s">
        <v>48</v>
      </c>
    </row>
    <row r="141" spans="1:29" ht="27.75" customHeight="1" x14ac:dyDescent="0.2">
      <c r="A141" s="90" t="s">
        <v>228</v>
      </c>
      <c r="B141" s="88" t="s">
        <v>77</v>
      </c>
      <c r="C141" s="88">
        <v>2020</v>
      </c>
      <c r="D141" s="152" t="s">
        <v>243</v>
      </c>
      <c r="E141" s="174" t="s">
        <v>244</v>
      </c>
      <c r="F141" s="88">
        <v>6</v>
      </c>
      <c r="G141" s="90">
        <v>12</v>
      </c>
      <c r="H141" s="90"/>
      <c r="I141" s="163">
        <v>10.199999999999999</v>
      </c>
      <c r="J141" s="155">
        <v>11</v>
      </c>
      <c r="K141" s="88">
        <v>19</v>
      </c>
      <c r="L141" s="89">
        <v>1042</v>
      </c>
      <c r="M141" s="89"/>
      <c r="N141" s="163">
        <v>4.9000000000000004</v>
      </c>
      <c r="O141" s="155">
        <v>7</v>
      </c>
      <c r="P141" s="88">
        <v>19</v>
      </c>
      <c r="R141" s="157">
        <f t="shared" si="37"/>
        <v>-0.5748657132194388</v>
      </c>
      <c r="S141" s="90">
        <v>1</v>
      </c>
      <c r="T141" s="174">
        <f t="shared" si="38"/>
        <v>-0.5748657132194388</v>
      </c>
      <c r="U141" s="174">
        <f t="shared" si="39"/>
        <v>-0.56280559336168834</v>
      </c>
      <c r="V141" s="174">
        <f t="shared" si="40"/>
        <v>-0.74125874125874114</v>
      </c>
      <c r="X141" s="90">
        <v>1</v>
      </c>
      <c r="Y141" s="90" t="s">
        <v>63</v>
      </c>
      <c r="Z141" s="156" t="s">
        <v>44</v>
      </c>
      <c r="AA141" s="90" t="s">
        <v>48</v>
      </c>
    </row>
    <row r="142" spans="1:29" ht="27.75" customHeight="1" x14ac:dyDescent="0.2">
      <c r="A142" s="90" t="s">
        <v>228</v>
      </c>
      <c r="B142" s="90" t="s">
        <v>76</v>
      </c>
      <c r="C142" s="88">
        <v>1996</v>
      </c>
      <c r="D142" s="152" t="s">
        <v>246</v>
      </c>
      <c r="E142" s="90" t="s">
        <v>247</v>
      </c>
      <c r="F142" s="90">
        <v>7</v>
      </c>
      <c r="G142" s="90">
        <v>13</v>
      </c>
      <c r="H142" s="90"/>
      <c r="I142" s="164">
        <v>10.3</v>
      </c>
      <c r="J142" s="155">
        <v>4.9000000000000004</v>
      </c>
      <c r="K142" s="88">
        <v>11</v>
      </c>
      <c r="L142" s="165">
        <v>1545</v>
      </c>
      <c r="M142" s="165"/>
      <c r="N142" s="163">
        <v>14.02</v>
      </c>
      <c r="O142" s="155">
        <v>3.59</v>
      </c>
      <c r="P142" s="88">
        <v>22</v>
      </c>
      <c r="Q142" s="90"/>
      <c r="R142" s="157">
        <f t="shared" si="37"/>
        <v>0.86607586438741158</v>
      </c>
      <c r="S142" s="90">
        <v>-1</v>
      </c>
      <c r="T142" s="174">
        <f t="shared" si="38"/>
        <v>-0.91647275055592392</v>
      </c>
      <c r="U142" s="174">
        <f t="shared" si="39"/>
        <v>-0.89411975663992571</v>
      </c>
      <c r="V142" s="174">
        <f t="shared" si="40"/>
        <v>-1.0109382430871658</v>
      </c>
      <c r="X142" s="334" t="s">
        <v>75</v>
      </c>
      <c r="Y142" s="334" t="s">
        <v>75</v>
      </c>
      <c r="Z142" s="156" t="s">
        <v>44</v>
      </c>
      <c r="AA142" s="334" t="s">
        <v>75</v>
      </c>
    </row>
    <row r="143" spans="1:29" ht="27.75" customHeight="1" x14ac:dyDescent="0.2">
      <c r="A143" s="90" t="s">
        <v>228</v>
      </c>
      <c r="B143" s="90" t="s">
        <v>76</v>
      </c>
      <c r="C143" s="88">
        <v>1996</v>
      </c>
      <c r="D143" s="152" t="s">
        <v>248</v>
      </c>
      <c r="E143" s="90" t="s">
        <v>247</v>
      </c>
      <c r="F143" s="90">
        <v>7</v>
      </c>
      <c r="G143" s="90">
        <v>14</v>
      </c>
      <c r="H143" s="90"/>
      <c r="I143" s="163">
        <v>8.85</v>
      </c>
      <c r="J143" s="155">
        <v>4.01</v>
      </c>
      <c r="K143" s="88">
        <v>11</v>
      </c>
      <c r="L143" s="165">
        <v>1545</v>
      </c>
      <c r="M143" s="165"/>
      <c r="N143" s="163">
        <v>12.66</v>
      </c>
      <c r="O143" s="155">
        <v>3.69</v>
      </c>
      <c r="P143" s="88">
        <v>22</v>
      </c>
      <c r="Q143" s="90"/>
      <c r="R143" s="157">
        <f t="shared" si="37"/>
        <v>0.98875691491790563</v>
      </c>
      <c r="S143" s="90">
        <v>-1</v>
      </c>
      <c r="T143" s="174">
        <f t="shared" si="38"/>
        <v>-1.0036420298583131</v>
      </c>
      <c r="U143" s="174">
        <f t="shared" si="39"/>
        <v>-0.97916295595932978</v>
      </c>
      <c r="V143" s="174">
        <f t="shared" si="40"/>
        <v>-1.0073369026373191</v>
      </c>
      <c r="X143" s="334" t="s">
        <v>75</v>
      </c>
      <c r="Y143" s="334" t="s">
        <v>75</v>
      </c>
      <c r="Z143" s="156" t="s">
        <v>44</v>
      </c>
      <c r="AA143" s="334" t="s">
        <v>75</v>
      </c>
    </row>
    <row r="144" spans="1:29" ht="27.75" customHeight="1" x14ac:dyDescent="0.2">
      <c r="A144" s="90" t="s">
        <v>228</v>
      </c>
      <c r="B144" s="90" t="s">
        <v>73</v>
      </c>
      <c r="C144" s="88">
        <v>1996</v>
      </c>
      <c r="D144" s="152" t="s">
        <v>246</v>
      </c>
      <c r="E144" s="90" t="s">
        <v>247</v>
      </c>
      <c r="F144" s="90">
        <v>8</v>
      </c>
      <c r="G144" s="90">
        <v>15</v>
      </c>
      <c r="H144" s="90"/>
      <c r="I144" s="164">
        <v>12.35</v>
      </c>
      <c r="J144" s="155">
        <v>3.52</v>
      </c>
      <c r="K144" s="88">
        <v>11</v>
      </c>
      <c r="L144" s="165">
        <v>566</v>
      </c>
      <c r="M144" s="165"/>
      <c r="N144" s="163">
        <v>14.02</v>
      </c>
      <c r="O144" s="155">
        <v>3.59</v>
      </c>
      <c r="P144" s="88">
        <v>22</v>
      </c>
      <c r="Q144" s="90"/>
      <c r="R144" s="157">
        <f t="shared" si="37"/>
        <v>0.46973813490351979</v>
      </c>
      <c r="S144" s="90">
        <v>-1</v>
      </c>
      <c r="T144" s="174">
        <f t="shared" si="38"/>
        <v>-0.46810581669268231</v>
      </c>
      <c r="U144" s="174">
        <f t="shared" si="39"/>
        <v>-0.45668860165139735</v>
      </c>
      <c r="V144" s="174">
        <f t="shared" si="40"/>
        <v>-0.45383517902031389</v>
      </c>
      <c r="X144" s="334" t="s">
        <v>75</v>
      </c>
      <c r="Y144" s="334" t="s">
        <v>75</v>
      </c>
      <c r="Z144" s="156" t="s">
        <v>44</v>
      </c>
      <c r="AA144" s="334" t="s">
        <v>75</v>
      </c>
    </row>
    <row r="145" spans="1:27" ht="27.75" customHeight="1" x14ac:dyDescent="0.2">
      <c r="A145" s="90" t="s">
        <v>228</v>
      </c>
      <c r="B145" s="90" t="s">
        <v>73</v>
      </c>
      <c r="C145" s="88">
        <v>1996</v>
      </c>
      <c r="D145" s="152" t="s">
        <v>248</v>
      </c>
      <c r="E145" s="90" t="s">
        <v>247</v>
      </c>
      <c r="F145" s="90">
        <v>8</v>
      </c>
      <c r="G145" s="90">
        <v>16</v>
      </c>
      <c r="H145" s="90"/>
      <c r="I145" s="164">
        <v>10.75</v>
      </c>
      <c r="J145" s="155">
        <v>4.0599999999999996</v>
      </c>
      <c r="K145" s="88">
        <v>11</v>
      </c>
      <c r="L145" s="165">
        <v>566</v>
      </c>
      <c r="M145" s="165"/>
      <c r="N145" s="163">
        <v>12.66</v>
      </c>
      <c r="O145" s="155">
        <v>3.69</v>
      </c>
      <c r="P145" s="88">
        <v>22</v>
      </c>
      <c r="Q145" s="90"/>
      <c r="R145" s="157">
        <f>(N145-I145)/SQRT((O145^2+J145^2)/2)</f>
        <v>0.49234244896618845</v>
      </c>
      <c r="S145" s="90">
        <v>-1</v>
      </c>
      <c r="T145" s="174">
        <f t="shared" si="38"/>
        <v>-0.50088120626911026</v>
      </c>
      <c r="U145" s="174">
        <f t="shared" si="39"/>
        <v>-0.48866459148205876</v>
      </c>
      <c r="V145" s="174">
        <f t="shared" si="40"/>
        <v>-0.50499041575781611</v>
      </c>
      <c r="X145" s="334" t="s">
        <v>75</v>
      </c>
      <c r="Y145" s="334" t="s">
        <v>75</v>
      </c>
      <c r="Z145" s="156" t="s">
        <v>44</v>
      </c>
      <c r="AA145" s="334" t="s">
        <v>75</v>
      </c>
    </row>
    <row r="146" spans="1:27" ht="18.75" customHeight="1" x14ac:dyDescent="0.2">
      <c r="A146" s="90"/>
      <c r="B146" s="90"/>
      <c r="E146" s="174"/>
      <c r="F146" s="173">
        <v>8</v>
      </c>
      <c r="G146" s="173">
        <v>16</v>
      </c>
      <c r="H146" s="173"/>
      <c r="I146" s="339"/>
      <c r="J146" s="346">
        <f>AVERAGE(J131:J144)</f>
        <v>12.262142857142859</v>
      </c>
      <c r="K146" s="347">
        <f>SUM(K130,K139,K138,K134,K132,K141,K143,K145)</f>
        <v>281</v>
      </c>
      <c r="L146" s="347">
        <f>AVERAGE(L130,L139,L138,L134,L132,L141,L143,L145)</f>
        <v>932.78571428571433</v>
      </c>
      <c r="M146" s="347"/>
      <c r="N146" s="339"/>
      <c r="O146" s="346">
        <f>AVERAGE(O131:O144)</f>
        <v>9.7657142857142851</v>
      </c>
      <c r="P146" s="173">
        <f>SUM(P130,P139,P138,P134,P132,P141,P143,P145)</f>
        <v>226</v>
      </c>
      <c r="Q146" s="173"/>
      <c r="R146" s="189"/>
      <c r="S146" s="173">
        <v>0</v>
      </c>
      <c r="T146" s="189">
        <f>AVERAGE(T131:T145)</f>
        <v>-0.35718325723238659</v>
      </c>
      <c r="U146" s="189">
        <f t="shared" ref="U146" si="41">AVERAGE(U131:U145)</f>
        <v>-0.34912452604594985</v>
      </c>
      <c r="V146" s="189">
        <f>AVERAGE(V140:V145,V130:V138)</f>
        <v>-0.28905173697196923</v>
      </c>
      <c r="AA146" s="90"/>
    </row>
    <row r="147" spans="1:27" ht="18.75" customHeight="1" x14ac:dyDescent="0.2">
      <c r="A147" s="90"/>
      <c r="B147" s="90"/>
      <c r="E147" s="174"/>
      <c r="F147" s="90"/>
      <c r="G147" s="90"/>
      <c r="H147" s="90"/>
      <c r="I147" s="164"/>
      <c r="J147" s="199"/>
      <c r="K147" s="90"/>
      <c r="L147" s="89"/>
      <c r="M147" s="89"/>
      <c r="N147" s="164"/>
      <c r="O147" s="199"/>
      <c r="P147" s="90"/>
      <c r="Q147" s="90"/>
      <c r="R147" s="157"/>
      <c r="S147" s="90">
        <v>0</v>
      </c>
      <c r="T147" s="197">
        <f>STDEV(T131:T145)</f>
        <v>0.51639599189933394</v>
      </c>
      <c r="U147" s="197">
        <f t="shared" ref="U147" si="42">STDEV(U131:U145)</f>
        <v>0.50633781479575957</v>
      </c>
      <c r="V147" s="189">
        <f>STDEV(V140:V145,V130:V138)</f>
        <v>0.41620429762881889</v>
      </c>
      <c r="AA147" s="90"/>
    </row>
    <row r="148" spans="1:27" ht="18.75" customHeight="1" x14ac:dyDescent="0.2">
      <c r="A148" s="90" t="s">
        <v>249</v>
      </c>
      <c r="B148" s="90" t="s">
        <v>28</v>
      </c>
      <c r="C148" s="88">
        <v>2004</v>
      </c>
      <c r="D148" s="152" t="s">
        <v>252</v>
      </c>
      <c r="E148" s="174" t="s">
        <v>253</v>
      </c>
      <c r="F148" s="90">
        <v>1</v>
      </c>
      <c r="G148" s="90">
        <v>1</v>
      </c>
      <c r="H148" s="90"/>
      <c r="I148" s="164">
        <v>58.75</v>
      </c>
      <c r="J148" s="199">
        <v>4.3499999999999996</v>
      </c>
      <c r="K148" s="90">
        <v>20</v>
      </c>
      <c r="L148" s="89">
        <v>858.5</v>
      </c>
      <c r="M148" s="89"/>
      <c r="N148" s="164">
        <v>59.86</v>
      </c>
      <c r="O148" s="199">
        <v>5.0599999999999996</v>
      </c>
      <c r="P148" s="90">
        <v>20</v>
      </c>
      <c r="Q148" s="90"/>
      <c r="R148" s="157">
        <f t="shared" ref="R148:R156" si="43">(N148-I148)/SQRT((O148^2+J148^2)/2)</f>
        <v>0.23525055026796488</v>
      </c>
      <c r="S148" s="90">
        <v>-1</v>
      </c>
      <c r="T148" s="174">
        <f t="shared" ref="T148:T156" si="44">(N148-I148)/SQRT((((P148-1)*O148^2) + ((K148-1)*J148^2))/(P148+K148-2))*S148</f>
        <v>-0.23525055026796488</v>
      </c>
      <c r="U148" s="174">
        <f t="shared" ref="U148:U156" si="45">T148*(1-(3/(4*(K148+P148-2) -1)))</f>
        <v>-0.23057669827588612</v>
      </c>
      <c r="V148" s="174">
        <f t="shared" ref="V148:V156" si="46">((N148-I148)/O148)*S148 * (1-(3/(4*(K148+P148-2)-1)))</f>
        <v>-0.21500929246394251</v>
      </c>
      <c r="W148" s="343">
        <f>V157-(V158*2.5)</f>
        <v>-3.3809290811005512</v>
      </c>
      <c r="X148" s="90">
        <v>2</v>
      </c>
      <c r="Y148" s="90" t="s">
        <v>31</v>
      </c>
      <c r="Z148" s="88" t="s">
        <v>32</v>
      </c>
      <c r="AA148" s="90" t="s">
        <v>31</v>
      </c>
    </row>
    <row r="149" spans="1:27" ht="18.75" customHeight="1" x14ac:dyDescent="0.2">
      <c r="A149" s="90" t="s">
        <v>249</v>
      </c>
      <c r="B149" s="90" t="s">
        <v>28</v>
      </c>
      <c r="C149" s="88">
        <v>2004</v>
      </c>
      <c r="D149" s="152" t="s">
        <v>631</v>
      </c>
      <c r="E149" s="174" t="s">
        <v>255</v>
      </c>
      <c r="F149" s="90">
        <v>1</v>
      </c>
      <c r="G149" s="90">
        <v>2</v>
      </c>
      <c r="H149" s="90"/>
      <c r="I149" s="164">
        <v>63.33</v>
      </c>
      <c r="J149" s="199">
        <v>19.059999999999999</v>
      </c>
      <c r="K149" s="90">
        <v>20</v>
      </c>
      <c r="L149" s="89">
        <v>858.5</v>
      </c>
      <c r="M149" s="89"/>
      <c r="N149" s="164">
        <v>70.63</v>
      </c>
      <c r="O149" s="199">
        <v>18.579999999999998</v>
      </c>
      <c r="P149" s="90">
        <v>20</v>
      </c>
      <c r="Q149" s="90"/>
      <c r="R149" s="157">
        <f t="shared" si="43"/>
        <v>0.38785369270415399</v>
      </c>
      <c r="S149" s="90">
        <v>-1</v>
      </c>
      <c r="T149" s="174">
        <f t="shared" si="44"/>
        <v>-0.38785369270415399</v>
      </c>
      <c r="U149" s="174">
        <f t="shared" si="45"/>
        <v>-0.38014799020009793</v>
      </c>
      <c r="V149" s="174">
        <f t="shared" si="46"/>
        <v>-0.3850897140698179</v>
      </c>
      <c r="X149" s="90">
        <v>2</v>
      </c>
      <c r="Y149" s="90" t="s">
        <v>31</v>
      </c>
      <c r="Z149" s="88" t="s">
        <v>32</v>
      </c>
      <c r="AA149" s="90" t="s">
        <v>31</v>
      </c>
    </row>
    <row r="150" spans="1:27" ht="18.75" customHeight="1" x14ac:dyDescent="0.2">
      <c r="A150" s="90" t="s">
        <v>249</v>
      </c>
      <c r="B150" s="90" t="s">
        <v>41</v>
      </c>
      <c r="C150" s="88">
        <v>2007</v>
      </c>
      <c r="D150" s="152" t="s">
        <v>256</v>
      </c>
      <c r="E150" s="174" t="s">
        <v>257</v>
      </c>
      <c r="F150" s="90">
        <v>2</v>
      </c>
      <c r="G150" s="90">
        <v>3</v>
      </c>
      <c r="H150" s="90"/>
      <c r="I150" s="164">
        <v>95</v>
      </c>
      <c r="J150" s="199">
        <v>13.9</v>
      </c>
      <c r="K150" s="90">
        <v>12</v>
      </c>
      <c r="L150" s="175" t="s">
        <v>44</v>
      </c>
      <c r="M150" s="175"/>
      <c r="N150" s="164">
        <v>97</v>
      </c>
      <c r="O150" s="199">
        <v>2.9</v>
      </c>
      <c r="P150" s="90">
        <v>12</v>
      </c>
      <c r="Q150" s="90"/>
      <c r="R150" s="157">
        <f t="shared" si="43"/>
        <v>0.19919488776864575</v>
      </c>
      <c r="S150" s="90">
        <v>-1</v>
      </c>
      <c r="T150" s="174">
        <f t="shared" si="44"/>
        <v>-0.19919488776864575</v>
      </c>
      <c r="U150" s="174">
        <f t="shared" si="45"/>
        <v>-0.19232609853524418</v>
      </c>
      <c r="V150" s="174">
        <f t="shared" si="46"/>
        <v>-0.66587395957193829</v>
      </c>
      <c r="X150" s="334">
        <v>1</v>
      </c>
      <c r="Y150" s="334" t="s">
        <v>46</v>
      </c>
      <c r="Z150" s="334" t="s">
        <v>234</v>
      </c>
      <c r="AA150" s="90" t="s">
        <v>48</v>
      </c>
    </row>
    <row r="151" spans="1:27" ht="18.75" customHeight="1" x14ac:dyDescent="0.2">
      <c r="A151" s="90" t="s">
        <v>249</v>
      </c>
      <c r="B151" s="90" t="s">
        <v>53</v>
      </c>
      <c r="C151" s="88">
        <v>2015</v>
      </c>
      <c r="D151" s="152" t="s">
        <v>250</v>
      </c>
      <c r="E151" s="174" t="s">
        <v>251</v>
      </c>
      <c r="F151" s="90">
        <v>3</v>
      </c>
      <c r="G151" s="90">
        <v>4</v>
      </c>
      <c r="H151" s="90"/>
      <c r="I151" s="164">
        <v>44.64</v>
      </c>
      <c r="J151" s="199">
        <v>37.18</v>
      </c>
      <c r="K151" s="90">
        <v>14</v>
      </c>
      <c r="L151" s="175" t="s">
        <v>44</v>
      </c>
      <c r="M151" s="175"/>
      <c r="N151" s="164">
        <v>57.14</v>
      </c>
      <c r="O151" s="199">
        <v>35.01</v>
      </c>
      <c r="P151" s="90">
        <v>14</v>
      </c>
      <c r="Q151" s="90"/>
      <c r="R151" s="157">
        <f t="shared" si="43"/>
        <v>0.3461520006975074</v>
      </c>
      <c r="S151" s="90">
        <v>-1</v>
      </c>
      <c r="T151" s="174">
        <f t="shared" si="44"/>
        <v>-0.3461520006975074</v>
      </c>
      <c r="U151" s="174">
        <f t="shared" si="45"/>
        <v>-0.33606990358981303</v>
      </c>
      <c r="V151" s="174">
        <f t="shared" si="46"/>
        <v>-0.34664159754633211</v>
      </c>
      <c r="X151" s="334">
        <v>3</v>
      </c>
      <c r="Y151" s="334" t="s">
        <v>57</v>
      </c>
      <c r="Z151" s="88" t="s">
        <v>32</v>
      </c>
      <c r="AA151" s="334" t="s">
        <v>57</v>
      </c>
    </row>
    <row r="152" spans="1:27" ht="18.75" customHeight="1" x14ac:dyDescent="0.2">
      <c r="A152" s="90" t="s">
        <v>249</v>
      </c>
      <c r="B152" s="90" t="s">
        <v>60</v>
      </c>
      <c r="C152" s="88">
        <v>2017</v>
      </c>
      <c r="D152" s="152" t="s">
        <v>258</v>
      </c>
      <c r="E152" s="174" t="s">
        <v>259</v>
      </c>
      <c r="F152" s="90">
        <v>4</v>
      </c>
      <c r="G152" s="90">
        <v>5</v>
      </c>
      <c r="H152" s="90"/>
      <c r="I152" s="164">
        <v>14.1</v>
      </c>
      <c r="J152" s="199">
        <v>8.5</v>
      </c>
      <c r="K152" s="90">
        <v>37</v>
      </c>
      <c r="L152" s="89">
        <v>720</v>
      </c>
      <c r="M152" s="89"/>
      <c r="N152" s="164">
        <v>10.5</v>
      </c>
      <c r="O152" s="199">
        <v>8.3000000000000007</v>
      </c>
      <c r="P152" s="90">
        <v>30</v>
      </c>
      <c r="Q152" s="90"/>
      <c r="R152" s="157">
        <f t="shared" si="43"/>
        <v>-0.42854106250850227</v>
      </c>
      <c r="S152" s="90">
        <v>1</v>
      </c>
      <c r="T152" s="174">
        <f t="shared" si="44"/>
        <v>-0.42799278275311803</v>
      </c>
      <c r="U152" s="174">
        <f t="shared" si="45"/>
        <v>-0.42303533739304333</v>
      </c>
      <c r="V152" s="174">
        <f t="shared" si="46"/>
        <v>-0.42871098292785031</v>
      </c>
      <c r="X152" s="90">
        <v>1</v>
      </c>
      <c r="Y152" s="90" t="s">
        <v>63</v>
      </c>
      <c r="Z152" s="88" t="s">
        <v>32</v>
      </c>
      <c r="AA152" s="90" t="s">
        <v>48</v>
      </c>
    </row>
    <row r="153" spans="1:27" ht="18.75" customHeight="1" x14ac:dyDescent="0.2">
      <c r="A153" s="90" t="s">
        <v>249</v>
      </c>
      <c r="B153" s="90" t="s">
        <v>60</v>
      </c>
      <c r="C153" s="88">
        <v>2017</v>
      </c>
      <c r="D153" s="152" t="s">
        <v>260</v>
      </c>
      <c r="E153" s="174" t="s">
        <v>261</v>
      </c>
      <c r="F153" s="90">
        <v>4</v>
      </c>
      <c r="G153" s="90">
        <v>6</v>
      </c>
      <c r="H153" s="90"/>
      <c r="I153" s="164">
        <v>3.1</v>
      </c>
      <c r="J153" s="199">
        <v>3.82</v>
      </c>
      <c r="K153" s="90">
        <v>37</v>
      </c>
      <c r="L153" s="89">
        <v>720</v>
      </c>
      <c r="M153" s="89"/>
      <c r="N153" s="164">
        <v>1.9</v>
      </c>
      <c r="O153" s="199">
        <v>1.9</v>
      </c>
      <c r="P153" s="90">
        <v>30</v>
      </c>
      <c r="Q153" s="90"/>
      <c r="R153" s="157">
        <f t="shared" si="43"/>
        <v>-0.39776990075677027</v>
      </c>
      <c r="S153" s="90">
        <v>1</v>
      </c>
      <c r="T153" s="174">
        <f t="shared" si="44"/>
        <v>-0.38544462779809185</v>
      </c>
      <c r="U153" s="174">
        <f t="shared" si="45"/>
        <v>-0.38098001820969696</v>
      </c>
      <c r="V153" s="174">
        <f t="shared" si="46"/>
        <v>-0.62426336110546643</v>
      </c>
      <c r="X153" s="90">
        <v>1</v>
      </c>
      <c r="Y153" s="90" t="s">
        <v>63</v>
      </c>
      <c r="Z153" s="88" t="s">
        <v>32</v>
      </c>
      <c r="AA153" s="90" t="s">
        <v>48</v>
      </c>
    </row>
    <row r="154" spans="1:27" ht="18.75" customHeight="1" x14ac:dyDescent="0.2">
      <c r="A154" s="90" t="s">
        <v>249</v>
      </c>
      <c r="B154" s="90" t="s">
        <v>509</v>
      </c>
      <c r="C154" s="88">
        <v>2021</v>
      </c>
      <c r="D154" s="152" t="s">
        <v>262</v>
      </c>
      <c r="E154" s="174"/>
      <c r="F154" s="90">
        <v>5</v>
      </c>
      <c r="G154" s="90">
        <v>7</v>
      </c>
      <c r="H154" s="90"/>
      <c r="I154" s="164">
        <v>21</v>
      </c>
      <c r="J154" s="199">
        <v>11.21</v>
      </c>
      <c r="K154" s="90">
        <v>19</v>
      </c>
      <c r="L154" s="89">
        <v>890</v>
      </c>
      <c r="M154" s="89"/>
      <c r="N154" s="164">
        <v>30</v>
      </c>
      <c r="O154" s="199">
        <v>3.14</v>
      </c>
      <c r="P154" s="90">
        <v>25</v>
      </c>
      <c r="Q154" s="90"/>
      <c r="R154" s="157">
        <f t="shared" si="43"/>
        <v>1.0933265191557937</v>
      </c>
      <c r="S154" s="90">
        <v>-1</v>
      </c>
      <c r="T154" s="174">
        <f t="shared" si="44"/>
        <v>-1.1668637816544061</v>
      </c>
      <c r="U154" s="174">
        <f t="shared" si="45"/>
        <v>-1.1459021568342671</v>
      </c>
      <c r="V154" s="174">
        <f t="shared" si="46"/>
        <v>-2.8147526602845261</v>
      </c>
      <c r="X154" s="90">
        <v>2</v>
      </c>
      <c r="AA154" s="90"/>
    </row>
    <row r="155" spans="1:27" ht="18.75" customHeight="1" x14ac:dyDescent="0.2">
      <c r="A155" s="90" t="s">
        <v>249</v>
      </c>
      <c r="B155" s="90" t="s">
        <v>72</v>
      </c>
      <c r="C155" s="88">
        <v>1994</v>
      </c>
      <c r="D155" s="152" t="s">
        <v>262</v>
      </c>
      <c r="E155" s="174" t="s">
        <v>263</v>
      </c>
      <c r="F155" s="90">
        <v>6</v>
      </c>
      <c r="G155" s="90">
        <v>8</v>
      </c>
      <c r="H155" s="90"/>
      <c r="I155" s="164">
        <v>64</v>
      </c>
      <c r="J155" s="199">
        <v>10</v>
      </c>
      <c r="K155" s="90">
        <v>25</v>
      </c>
      <c r="L155" s="89">
        <v>1332</v>
      </c>
      <c r="M155" s="89"/>
      <c r="N155" s="164">
        <v>69</v>
      </c>
      <c r="O155" s="199">
        <v>2</v>
      </c>
      <c r="P155" s="90">
        <v>15</v>
      </c>
      <c r="Q155" s="90"/>
      <c r="R155" s="157">
        <f t="shared" si="43"/>
        <v>0.69337524528153649</v>
      </c>
      <c r="S155" s="90">
        <v>-1</v>
      </c>
      <c r="T155" s="174">
        <f t="shared" si="44"/>
        <v>-0.6219387571052124</v>
      </c>
      <c r="U155" s="174">
        <f t="shared" si="45"/>
        <v>-0.60958235795742677</v>
      </c>
      <c r="V155" s="174">
        <f t="shared" si="46"/>
        <v>-2.4503311258278146</v>
      </c>
      <c r="X155" s="90">
        <v>2</v>
      </c>
      <c r="Y155" s="90" t="s">
        <v>31</v>
      </c>
      <c r="Z155" s="88" t="s">
        <v>32</v>
      </c>
      <c r="AA155" s="90" t="s">
        <v>31</v>
      </c>
    </row>
    <row r="156" spans="1:27" ht="18.75" customHeight="1" x14ac:dyDescent="0.2">
      <c r="A156" s="90" t="s">
        <v>249</v>
      </c>
      <c r="B156" s="88" t="s">
        <v>77</v>
      </c>
      <c r="C156" s="88">
        <v>2020</v>
      </c>
      <c r="D156" s="152" t="s">
        <v>258</v>
      </c>
      <c r="E156" s="174" t="s">
        <v>259</v>
      </c>
      <c r="F156" s="88">
        <v>7</v>
      </c>
      <c r="G156" s="90">
        <v>9</v>
      </c>
      <c r="H156" s="90"/>
      <c r="I156" s="163">
        <v>2.2999999999999998</v>
      </c>
      <c r="J156" s="155">
        <v>2.2000000000000002</v>
      </c>
      <c r="K156" s="88">
        <v>19</v>
      </c>
      <c r="L156" s="89">
        <v>1042</v>
      </c>
      <c r="M156" s="89"/>
      <c r="N156" s="163">
        <v>1.2</v>
      </c>
      <c r="O156" s="155">
        <v>1.3</v>
      </c>
      <c r="P156" s="88">
        <v>19</v>
      </c>
      <c r="R156" s="157">
        <f t="shared" si="43"/>
        <v>-0.60876698620373393</v>
      </c>
      <c r="S156" s="90">
        <v>1</v>
      </c>
      <c r="T156" s="174">
        <f t="shared" si="44"/>
        <v>-0.60876698620373393</v>
      </c>
      <c r="U156" s="174">
        <f t="shared" si="45"/>
        <v>-0.59599565082883044</v>
      </c>
      <c r="V156" s="174">
        <f t="shared" si="46"/>
        <v>-0.82840236686390523</v>
      </c>
      <c r="X156" s="90">
        <v>1</v>
      </c>
      <c r="Y156" s="90" t="s">
        <v>63</v>
      </c>
      <c r="Z156" s="156" t="s">
        <v>44</v>
      </c>
      <c r="AA156" s="90" t="s">
        <v>48</v>
      </c>
    </row>
    <row r="157" spans="1:27" ht="18.75" customHeight="1" x14ac:dyDescent="0.2">
      <c r="A157" s="90"/>
      <c r="B157" s="90"/>
      <c r="D157" s="152"/>
      <c r="E157" s="153"/>
      <c r="F157" s="337">
        <v>7</v>
      </c>
      <c r="G157" s="173">
        <v>9</v>
      </c>
      <c r="H157" s="90"/>
      <c r="I157" s="154"/>
      <c r="J157" s="199">
        <f>AVERAGE(J148:J156)</f>
        <v>12.246666666666664</v>
      </c>
      <c r="K157" s="173">
        <f>AVERAGE(K148,K150,K151,K152,K154,K155,K156)</f>
        <v>20.857142857142858</v>
      </c>
      <c r="L157" s="347">
        <f>AVERAGE(L148,L150,L151,L152,L154,L155,L156)</f>
        <v>968.5</v>
      </c>
      <c r="M157" s="89"/>
      <c r="N157" s="154"/>
      <c r="O157" s="199">
        <f>AVERAGE(O148:O156)</f>
        <v>8.6877777777777769</v>
      </c>
      <c r="P157" s="173">
        <f>SUM(P148,P150,P151,P152,P154,P155,P156)</f>
        <v>135</v>
      </c>
      <c r="R157" s="157"/>
      <c r="S157" s="90"/>
      <c r="T157" s="161">
        <f>AVERAGE(T148:T156)</f>
        <v>-0.48660645188364821</v>
      </c>
      <c r="U157" s="161">
        <f>AVERAGE(U148:U156)</f>
        <v>-0.47717957909158959</v>
      </c>
      <c r="V157" s="161">
        <f>AVERAGE(V148:V156)</f>
        <v>-0.97323056229573246</v>
      </c>
      <c r="W157" s="161"/>
      <c r="X157" s="156"/>
      <c r="Y157" s="156"/>
      <c r="AA157" s="156"/>
    </row>
    <row r="158" spans="1:27" ht="18.75" customHeight="1" x14ac:dyDescent="0.2">
      <c r="A158" s="90"/>
      <c r="B158" s="90"/>
      <c r="E158" s="174"/>
      <c r="F158" s="90"/>
      <c r="G158" s="90"/>
      <c r="H158" s="90"/>
      <c r="I158" s="164"/>
      <c r="J158" s="199"/>
      <c r="K158" s="90"/>
      <c r="L158" s="89"/>
      <c r="M158" s="89"/>
      <c r="N158" s="164"/>
      <c r="O158" s="199"/>
      <c r="P158" s="90"/>
      <c r="Q158" s="90"/>
      <c r="R158" s="157"/>
      <c r="S158" s="90">
        <v>0</v>
      </c>
      <c r="T158" s="197">
        <f>STDEV(T148:T156)</f>
        <v>0.29260085810658576</v>
      </c>
      <c r="U158" s="197">
        <f>STDEV(U148:U156)</f>
        <v>0.28772928924923252</v>
      </c>
      <c r="V158" s="197">
        <f>STDEV(V148:V156)</f>
        <v>0.96307940752192756</v>
      </c>
      <c r="W158" s="88"/>
      <c r="AA158" s="90"/>
    </row>
    <row r="159" spans="1:27" ht="18.75" customHeight="1" x14ac:dyDescent="0.2">
      <c r="A159" s="90" t="s">
        <v>264</v>
      </c>
      <c r="B159" s="90" t="s">
        <v>28</v>
      </c>
      <c r="C159" s="88">
        <v>2004</v>
      </c>
      <c r="D159" s="152" t="s">
        <v>267</v>
      </c>
      <c r="E159" s="174" t="s">
        <v>268</v>
      </c>
      <c r="F159" s="90">
        <v>1</v>
      </c>
      <c r="G159" s="90">
        <v>1</v>
      </c>
      <c r="H159" s="90"/>
      <c r="I159" s="164">
        <v>98.19</v>
      </c>
      <c r="J159" s="199">
        <v>2.59</v>
      </c>
      <c r="K159" s="90">
        <v>20</v>
      </c>
      <c r="L159" s="89">
        <v>858.5</v>
      </c>
      <c r="M159" s="89"/>
      <c r="N159" s="164">
        <v>98.19</v>
      </c>
      <c r="O159" s="199">
        <v>4.16</v>
      </c>
      <c r="P159" s="90">
        <v>20</v>
      </c>
      <c r="Q159" s="90"/>
      <c r="R159" s="157">
        <f t="shared" ref="R159:R168" si="47">(N159-I159)/SQRT((O159^2+J159^2)/2)</f>
        <v>0</v>
      </c>
      <c r="S159" s="90">
        <v>-1</v>
      </c>
      <c r="T159" s="174">
        <f t="shared" ref="T159:T169" si="48">(N159-I159)/SQRT((((P159-1)*O159^2) + ((K159-1)*J159^2))/(P159+K159-2))*S159</f>
        <v>0</v>
      </c>
      <c r="U159" s="174">
        <f t="shared" ref="U159:U169" si="49">T159*(1-(3/(4*(K159+P159-2) -1)))</f>
        <v>0</v>
      </c>
      <c r="V159" s="174">
        <f t="shared" ref="V159:V169" si="50">((N159-I159)/O159)*S159 * (1-(3/(4*(K159+P159-2)-1)))</f>
        <v>0</v>
      </c>
      <c r="W159" s="343">
        <f>V170-(V171*2.5)</f>
        <v>-0.83750024210287921</v>
      </c>
      <c r="X159" s="90">
        <v>2</v>
      </c>
      <c r="Y159" s="90" t="s">
        <v>31</v>
      </c>
      <c r="Z159" s="88" t="s">
        <v>32</v>
      </c>
      <c r="AA159" s="90" t="s">
        <v>31</v>
      </c>
    </row>
    <row r="160" spans="1:27" ht="18.75" customHeight="1" x14ac:dyDescent="0.2">
      <c r="A160" s="90" t="s">
        <v>264</v>
      </c>
      <c r="B160" s="90" t="s">
        <v>33</v>
      </c>
      <c r="C160" s="88">
        <v>2005</v>
      </c>
      <c r="D160" s="152" t="s">
        <v>269</v>
      </c>
      <c r="E160" s="174" t="s">
        <v>270</v>
      </c>
      <c r="F160" s="90">
        <v>2</v>
      </c>
      <c r="G160" s="90">
        <v>2</v>
      </c>
      <c r="H160" s="90"/>
      <c r="I160" s="164">
        <v>99.4</v>
      </c>
      <c r="J160" s="199">
        <v>1.66</v>
      </c>
      <c r="K160" s="90">
        <v>25</v>
      </c>
      <c r="L160" s="89">
        <v>758.79</v>
      </c>
      <c r="M160" s="89"/>
      <c r="N160" s="164">
        <v>99.4</v>
      </c>
      <c r="O160" s="199">
        <v>1.66</v>
      </c>
      <c r="P160" s="90">
        <v>25</v>
      </c>
      <c r="Q160" s="90"/>
      <c r="R160" s="157">
        <f t="shared" si="47"/>
        <v>0</v>
      </c>
      <c r="S160" s="90">
        <v>-1</v>
      </c>
      <c r="T160" s="174">
        <f t="shared" si="48"/>
        <v>0</v>
      </c>
      <c r="U160" s="174">
        <f t="shared" si="49"/>
        <v>0</v>
      </c>
      <c r="V160" s="174">
        <f t="shared" si="50"/>
        <v>0</v>
      </c>
      <c r="X160" s="90">
        <v>2</v>
      </c>
      <c r="Y160" s="90" t="s">
        <v>31</v>
      </c>
      <c r="Z160" s="88" t="s">
        <v>32</v>
      </c>
      <c r="AA160" s="90" t="s">
        <v>31</v>
      </c>
    </row>
    <row r="161" spans="1:27" ht="18.75" customHeight="1" x14ac:dyDescent="0.2">
      <c r="A161" s="90" t="s">
        <v>264</v>
      </c>
      <c r="B161" s="90" t="s">
        <v>33</v>
      </c>
      <c r="C161" s="88">
        <v>2005</v>
      </c>
      <c r="D161" s="152" t="s">
        <v>271</v>
      </c>
      <c r="E161" s="174" t="s">
        <v>272</v>
      </c>
      <c r="F161" s="90">
        <v>2</v>
      </c>
      <c r="G161" s="90">
        <v>3</v>
      </c>
      <c r="H161" s="90"/>
      <c r="I161" s="164">
        <v>0.99</v>
      </c>
      <c r="J161" s="199">
        <v>0.35</v>
      </c>
      <c r="K161" s="90">
        <v>25</v>
      </c>
      <c r="L161" s="89">
        <v>758.79</v>
      </c>
      <c r="M161" s="89"/>
      <c r="N161" s="164">
        <v>0.83</v>
      </c>
      <c r="O161" s="199">
        <v>0.26</v>
      </c>
      <c r="P161" s="90">
        <v>25</v>
      </c>
      <c r="Q161" s="90"/>
      <c r="R161" s="157">
        <f t="shared" si="47"/>
        <v>-0.51897199400628724</v>
      </c>
      <c r="S161" s="90">
        <v>1</v>
      </c>
      <c r="T161" s="174">
        <f t="shared" si="48"/>
        <v>-0.51897199400628713</v>
      </c>
      <c r="U161" s="174">
        <f t="shared" si="49"/>
        <v>-0.51082060143027219</v>
      </c>
      <c r="V161" s="174">
        <f t="shared" si="50"/>
        <v>-0.60571888844140165</v>
      </c>
      <c r="X161" s="90">
        <v>2</v>
      </c>
      <c r="Y161" s="90" t="s">
        <v>31</v>
      </c>
      <c r="Z161" s="88" t="s">
        <v>32</v>
      </c>
      <c r="AA161" s="90" t="s">
        <v>31</v>
      </c>
    </row>
    <row r="162" spans="1:27" ht="18.75" customHeight="1" x14ac:dyDescent="0.2">
      <c r="A162" s="90" t="s">
        <v>264</v>
      </c>
      <c r="B162" s="90" t="s">
        <v>33</v>
      </c>
      <c r="C162" s="88">
        <v>2005</v>
      </c>
      <c r="D162" s="152" t="s">
        <v>273</v>
      </c>
      <c r="E162" s="174" t="s">
        <v>274</v>
      </c>
      <c r="F162" s="90">
        <v>2</v>
      </c>
      <c r="G162" s="90">
        <v>4</v>
      </c>
      <c r="H162" s="90"/>
      <c r="I162" s="164">
        <v>97.4</v>
      </c>
      <c r="J162" s="199">
        <v>3.85</v>
      </c>
      <c r="K162" s="90">
        <v>25</v>
      </c>
      <c r="L162" s="89">
        <v>758.79</v>
      </c>
      <c r="M162" s="89"/>
      <c r="N162" s="164">
        <v>98.8</v>
      </c>
      <c r="O162" s="199">
        <v>2.1800000000000002</v>
      </c>
      <c r="P162" s="90">
        <v>25</v>
      </c>
      <c r="Q162" s="90"/>
      <c r="R162" s="157">
        <f t="shared" si="47"/>
        <v>0.44750022442798021</v>
      </c>
      <c r="S162" s="90">
        <v>-1</v>
      </c>
      <c r="T162" s="174">
        <f t="shared" si="48"/>
        <v>-0.44750022442798021</v>
      </c>
      <c r="U162" s="174">
        <f t="shared" si="49"/>
        <v>-0.44047142509141507</v>
      </c>
      <c r="V162" s="174">
        <f t="shared" si="50"/>
        <v>-0.63211489504778906</v>
      </c>
      <c r="X162" s="90">
        <v>2</v>
      </c>
      <c r="Y162" s="90" t="s">
        <v>31</v>
      </c>
      <c r="Z162" s="88" t="s">
        <v>32</v>
      </c>
      <c r="AA162" s="90" t="s">
        <v>31</v>
      </c>
    </row>
    <row r="163" spans="1:27" ht="18.75" customHeight="1" x14ac:dyDescent="0.2">
      <c r="A163" s="90" t="s">
        <v>264</v>
      </c>
      <c r="B163" s="90" t="s">
        <v>33</v>
      </c>
      <c r="C163" s="88">
        <v>2005</v>
      </c>
      <c r="D163" s="152" t="s">
        <v>275</v>
      </c>
      <c r="E163" s="174" t="s">
        <v>276</v>
      </c>
      <c r="F163" s="90">
        <v>2</v>
      </c>
      <c r="G163" s="90">
        <v>5</v>
      </c>
      <c r="H163" s="90"/>
      <c r="I163" s="164">
        <v>1.1299999999999999</v>
      </c>
      <c r="J163" s="199">
        <v>0.34</v>
      </c>
      <c r="K163" s="90">
        <v>25</v>
      </c>
      <c r="L163" s="89">
        <v>758.79</v>
      </c>
      <c r="M163" s="89"/>
      <c r="N163" s="164">
        <v>1.02</v>
      </c>
      <c r="O163" s="199">
        <v>0.33</v>
      </c>
      <c r="P163" s="90">
        <v>25</v>
      </c>
      <c r="Q163" s="90"/>
      <c r="R163" s="157">
        <f t="shared" si="47"/>
        <v>-0.32832164141694481</v>
      </c>
      <c r="S163" s="90">
        <v>1</v>
      </c>
      <c r="T163" s="174">
        <f t="shared" si="48"/>
        <v>-0.32832164141694481</v>
      </c>
      <c r="U163" s="174">
        <f t="shared" si="49"/>
        <v>-0.32316475699678338</v>
      </c>
      <c r="V163" s="174">
        <f t="shared" si="50"/>
        <v>-0.32809773123909208</v>
      </c>
      <c r="X163" s="90">
        <v>2</v>
      </c>
      <c r="Y163" s="90" t="s">
        <v>31</v>
      </c>
      <c r="Z163" s="88" t="s">
        <v>32</v>
      </c>
      <c r="AA163" s="90" t="s">
        <v>31</v>
      </c>
    </row>
    <row r="164" spans="1:27" ht="18.75" customHeight="1" x14ac:dyDescent="0.2">
      <c r="A164" s="90" t="s">
        <v>264</v>
      </c>
      <c r="B164" s="90" t="s">
        <v>38</v>
      </c>
      <c r="C164" s="88">
        <v>2007</v>
      </c>
      <c r="D164" s="152" t="s">
        <v>269</v>
      </c>
      <c r="E164" s="174" t="s">
        <v>277</v>
      </c>
      <c r="F164" s="90">
        <v>3</v>
      </c>
      <c r="G164" s="90">
        <v>6</v>
      </c>
      <c r="H164" s="90"/>
      <c r="I164" s="164">
        <v>98.2</v>
      </c>
      <c r="J164" s="199">
        <v>2.84</v>
      </c>
      <c r="K164" s="90">
        <v>25</v>
      </c>
      <c r="L164" s="89">
        <v>1285.68</v>
      </c>
      <c r="M164" s="89"/>
      <c r="N164" s="164">
        <v>98.6</v>
      </c>
      <c r="O164" s="199">
        <v>2.02</v>
      </c>
      <c r="P164" s="90">
        <v>45</v>
      </c>
      <c r="Q164" s="90"/>
      <c r="R164" s="157">
        <f t="shared" si="47"/>
        <v>0.16231488588586224</v>
      </c>
      <c r="S164" s="90">
        <v>-1</v>
      </c>
      <c r="T164" s="174">
        <f t="shared" si="48"/>
        <v>-0.17076341804693462</v>
      </c>
      <c r="U164" s="174">
        <f t="shared" si="49"/>
        <v>-0.16887304810545564</v>
      </c>
      <c r="V164" s="174">
        <f t="shared" si="50"/>
        <v>-0.19582770085126178</v>
      </c>
      <c r="X164" s="90">
        <v>2</v>
      </c>
      <c r="Y164" s="90" t="s">
        <v>31</v>
      </c>
      <c r="Z164" s="334" t="s">
        <v>234</v>
      </c>
      <c r="AA164" s="90" t="s">
        <v>31</v>
      </c>
    </row>
    <row r="165" spans="1:27" ht="18.75" customHeight="1" x14ac:dyDescent="0.2">
      <c r="A165" s="90" t="s">
        <v>264</v>
      </c>
      <c r="B165" s="90" t="s">
        <v>38</v>
      </c>
      <c r="C165" s="88">
        <v>2007</v>
      </c>
      <c r="D165" s="152" t="s">
        <v>271</v>
      </c>
      <c r="E165" s="174" t="s">
        <v>278</v>
      </c>
      <c r="F165" s="90">
        <v>3</v>
      </c>
      <c r="G165" s="90">
        <v>7</v>
      </c>
      <c r="H165" s="90"/>
      <c r="I165" s="164">
        <v>0.87</v>
      </c>
      <c r="J165" s="199">
        <v>0.2</v>
      </c>
      <c r="K165" s="90">
        <v>25</v>
      </c>
      <c r="L165" s="89">
        <v>1285.68</v>
      </c>
      <c r="M165" s="89"/>
      <c r="N165" s="164">
        <v>0.82</v>
      </c>
      <c r="O165" s="199">
        <v>0.26</v>
      </c>
      <c r="P165" s="90">
        <v>45</v>
      </c>
      <c r="Q165" s="90"/>
      <c r="R165" s="157">
        <f t="shared" si="47"/>
        <v>-0.21556530677961361</v>
      </c>
      <c r="S165" s="90">
        <v>1</v>
      </c>
      <c r="T165" s="174">
        <f t="shared" si="48"/>
        <v>-0.20786683571654557</v>
      </c>
      <c r="U165" s="174">
        <f t="shared" si="49"/>
        <v>-0.20556572683407459</v>
      </c>
      <c r="V165" s="174">
        <f t="shared" si="50"/>
        <v>-0.1901788248651719</v>
      </c>
      <c r="X165" s="90">
        <v>2</v>
      </c>
      <c r="Y165" s="90" t="s">
        <v>31</v>
      </c>
      <c r="Z165" s="334" t="s">
        <v>234</v>
      </c>
      <c r="AA165" s="90" t="s">
        <v>31</v>
      </c>
    </row>
    <row r="166" spans="1:27" ht="18.75" customHeight="1" x14ac:dyDescent="0.2">
      <c r="A166" s="90" t="s">
        <v>264</v>
      </c>
      <c r="B166" s="90" t="s">
        <v>38</v>
      </c>
      <c r="C166" s="88">
        <v>2007</v>
      </c>
      <c r="D166" s="152" t="s">
        <v>273</v>
      </c>
      <c r="E166" s="174" t="s">
        <v>279</v>
      </c>
      <c r="F166" s="90">
        <v>3</v>
      </c>
      <c r="G166" s="90">
        <v>8</v>
      </c>
      <c r="H166" s="90"/>
      <c r="I166" s="164">
        <v>97</v>
      </c>
      <c r="J166" s="199">
        <v>5.95</v>
      </c>
      <c r="K166" s="90">
        <v>25</v>
      </c>
      <c r="L166" s="89">
        <v>1285.68</v>
      </c>
      <c r="M166" s="89"/>
      <c r="N166" s="164">
        <v>98</v>
      </c>
      <c r="O166" s="199">
        <v>2.61</v>
      </c>
      <c r="P166" s="90">
        <v>45</v>
      </c>
      <c r="Q166" s="90"/>
      <c r="R166" s="157">
        <f t="shared" si="47"/>
        <v>0.21766252282644513</v>
      </c>
      <c r="S166" s="90">
        <v>-1</v>
      </c>
      <c r="T166" s="174">
        <f t="shared" si="48"/>
        <v>-0.24323176752709033</v>
      </c>
      <c r="U166" s="174">
        <f t="shared" si="49"/>
        <v>-0.24053916493453953</v>
      </c>
      <c r="V166" s="174">
        <f t="shared" si="50"/>
        <v>-0.37890034072754525</v>
      </c>
      <c r="X166" s="90">
        <v>2</v>
      </c>
      <c r="Y166" s="90" t="s">
        <v>31</v>
      </c>
      <c r="Z166" s="334" t="s">
        <v>234</v>
      </c>
      <c r="AA166" s="90" t="s">
        <v>31</v>
      </c>
    </row>
    <row r="167" spans="1:27" ht="18.75" customHeight="1" x14ac:dyDescent="0.2">
      <c r="A167" s="90" t="s">
        <v>264</v>
      </c>
      <c r="B167" s="90" t="s">
        <v>38</v>
      </c>
      <c r="C167" s="88">
        <v>2007</v>
      </c>
      <c r="D167" s="152" t="s">
        <v>275</v>
      </c>
      <c r="E167" s="174" t="s">
        <v>280</v>
      </c>
      <c r="F167" s="90">
        <v>3</v>
      </c>
      <c r="G167" s="90">
        <v>9</v>
      </c>
      <c r="H167" s="90"/>
      <c r="I167" s="164">
        <v>0.98</v>
      </c>
      <c r="J167" s="199">
        <v>0.24</v>
      </c>
      <c r="K167" s="90">
        <v>25</v>
      </c>
      <c r="L167" s="89">
        <v>1285.68</v>
      </c>
      <c r="M167" s="89"/>
      <c r="N167" s="164">
        <v>1</v>
      </c>
      <c r="O167" s="199">
        <v>32</v>
      </c>
      <c r="P167" s="90">
        <v>45</v>
      </c>
      <c r="Q167" s="90"/>
      <c r="R167" s="157">
        <f t="shared" si="47"/>
        <v>8.8385861830910829E-4</v>
      </c>
      <c r="S167" s="90">
        <v>1</v>
      </c>
      <c r="T167" s="174">
        <f t="shared" si="48"/>
        <v>7.7696503137658927E-4</v>
      </c>
      <c r="U167" s="174">
        <f t="shared" si="49"/>
        <v>7.6836394246836137E-4</v>
      </c>
      <c r="V167" s="174">
        <f t="shared" si="50"/>
        <v>6.180811808118087E-4</v>
      </c>
      <c r="X167" s="90">
        <v>2</v>
      </c>
      <c r="Y167" s="90" t="s">
        <v>31</v>
      </c>
      <c r="Z167" s="334" t="s">
        <v>234</v>
      </c>
      <c r="AA167" s="90" t="s">
        <v>31</v>
      </c>
    </row>
    <row r="168" spans="1:27" ht="18.75" customHeight="1" x14ac:dyDescent="0.2">
      <c r="A168" s="90" t="s">
        <v>264</v>
      </c>
      <c r="B168" s="90" t="s">
        <v>53</v>
      </c>
      <c r="C168" s="88">
        <v>2015</v>
      </c>
      <c r="D168" s="152" t="s">
        <v>265</v>
      </c>
      <c r="E168" s="174" t="s">
        <v>266</v>
      </c>
      <c r="F168" s="90">
        <v>4</v>
      </c>
      <c r="G168" s="90">
        <v>10</v>
      </c>
      <c r="H168" s="90"/>
      <c r="I168" s="164">
        <v>77.86</v>
      </c>
      <c r="J168" s="199">
        <v>28.6</v>
      </c>
      <c r="K168" s="90">
        <v>14</v>
      </c>
      <c r="L168" s="175" t="s">
        <v>44</v>
      </c>
      <c r="M168" s="175"/>
      <c r="N168" s="164">
        <v>86.79</v>
      </c>
      <c r="O168" s="199">
        <v>24.31</v>
      </c>
      <c r="P168" s="90">
        <v>14</v>
      </c>
      <c r="Q168" s="90"/>
      <c r="R168" s="157">
        <f t="shared" si="47"/>
        <v>0.33645021355751514</v>
      </c>
      <c r="S168" s="90">
        <v>-1</v>
      </c>
      <c r="T168" s="174">
        <f t="shared" si="48"/>
        <v>-0.33645021355751509</v>
      </c>
      <c r="U168" s="174">
        <f t="shared" si="49"/>
        <v>-0.32665069277428649</v>
      </c>
      <c r="V168" s="174">
        <f t="shared" si="50"/>
        <v>-0.35663936292148773</v>
      </c>
      <c r="X168" s="334">
        <v>3</v>
      </c>
      <c r="Y168" s="334" t="s">
        <v>57</v>
      </c>
      <c r="Z168" s="88" t="s">
        <v>32</v>
      </c>
      <c r="AA168" s="334" t="s">
        <v>57</v>
      </c>
    </row>
    <row r="169" spans="1:27" ht="18.75" customHeight="1" x14ac:dyDescent="0.2">
      <c r="A169" s="90" t="s">
        <v>264</v>
      </c>
      <c r="B169" s="90" t="s">
        <v>518</v>
      </c>
      <c r="C169" s="88">
        <v>2021</v>
      </c>
      <c r="D169" s="152" t="s">
        <v>265</v>
      </c>
      <c r="E169" s="174"/>
      <c r="F169" s="90">
        <v>5</v>
      </c>
      <c r="G169" s="90">
        <v>11</v>
      </c>
      <c r="H169" s="90"/>
      <c r="I169" s="164">
        <v>36</v>
      </c>
      <c r="J169" s="199">
        <v>1.6</v>
      </c>
      <c r="K169" s="90">
        <v>19</v>
      </c>
      <c r="L169" s="89">
        <v>890</v>
      </c>
      <c r="M169" s="89"/>
      <c r="N169" s="164">
        <v>36</v>
      </c>
      <c r="O169" s="199">
        <v>0.79</v>
      </c>
      <c r="P169" s="90">
        <v>25</v>
      </c>
      <c r="Q169" s="90"/>
      <c r="R169" s="157">
        <v>0</v>
      </c>
      <c r="S169" s="90">
        <v>1</v>
      </c>
      <c r="T169" s="174">
        <f t="shared" si="48"/>
        <v>0</v>
      </c>
      <c r="U169" s="174">
        <f t="shared" si="49"/>
        <v>0</v>
      </c>
      <c r="V169" s="174">
        <f t="shared" si="50"/>
        <v>0</v>
      </c>
      <c r="Z169" s="334"/>
      <c r="AA169" s="90"/>
    </row>
    <row r="170" spans="1:27" ht="18.75" customHeight="1" x14ac:dyDescent="0.2">
      <c r="A170" s="90"/>
      <c r="B170" s="90"/>
      <c r="D170" s="152"/>
      <c r="E170" s="174"/>
      <c r="F170" s="173">
        <v>5</v>
      </c>
      <c r="G170" s="173">
        <v>11</v>
      </c>
      <c r="H170" s="90"/>
      <c r="J170" s="155">
        <f>AVERAGE(J159:J168)</f>
        <v>4.6619999999999999</v>
      </c>
      <c r="K170" s="173">
        <f>SUM(K168,K164,K160,K159,K169)</f>
        <v>103</v>
      </c>
      <c r="L170" s="347">
        <f>AVERAGE(L168,L164,L160,L159,L169)</f>
        <v>948.24250000000006</v>
      </c>
      <c r="M170" s="347"/>
      <c r="N170" s="164"/>
      <c r="O170" s="155">
        <f>AVERAGE(O159:O169)</f>
        <v>6.416363636363636</v>
      </c>
      <c r="P170" s="173">
        <f>SUM(P168,P164,P160,P159,P169)</f>
        <v>129</v>
      </c>
      <c r="Q170" s="90"/>
      <c r="R170" s="157"/>
      <c r="S170" s="90"/>
      <c r="T170" s="189">
        <f>AVERAGE(T159:T169)</f>
        <v>-0.20475719360617461</v>
      </c>
      <c r="U170" s="189">
        <f>AVERAGE(U159:U169)</f>
        <v>-0.20139245929312352</v>
      </c>
      <c r="V170" s="189">
        <f>AVERAGE(V159:V169)</f>
        <v>-0.24425996935572164</v>
      </c>
      <c r="Z170" s="334"/>
      <c r="AA170" s="90"/>
    </row>
    <row r="171" spans="1:27" ht="18.75" customHeight="1" x14ac:dyDescent="0.2">
      <c r="A171" s="90"/>
      <c r="B171" s="90"/>
      <c r="D171" s="152"/>
      <c r="E171" s="174"/>
      <c r="F171" s="90"/>
      <c r="G171" s="90"/>
      <c r="H171" s="90"/>
      <c r="I171" s="164"/>
      <c r="J171" s="155"/>
      <c r="K171" s="90"/>
      <c r="L171" s="89"/>
      <c r="M171" s="89"/>
      <c r="N171" s="164"/>
      <c r="O171" s="199"/>
      <c r="P171" s="90"/>
      <c r="Q171" s="90"/>
      <c r="R171" s="157"/>
      <c r="S171" s="90">
        <v>0</v>
      </c>
      <c r="T171" s="197">
        <f>STDEV(T159:T169)</f>
        <v>0.18998228836557937</v>
      </c>
      <c r="U171" s="197">
        <f>STDEV(U159:U169)</f>
        <v>0.18670184890265668</v>
      </c>
      <c r="V171" s="197">
        <f>STDEV(V159:V169)</f>
        <v>0.23729610909886306</v>
      </c>
      <c r="Z171" s="334"/>
      <c r="AA171" s="90"/>
    </row>
    <row r="172" spans="1:27" ht="18.75" customHeight="1" x14ac:dyDescent="0.2">
      <c r="A172" s="90"/>
      <c r="D172" s="152"/>
      <c r="E172" s="174"/>
      <c r="F172" s="90"/>
      <c r="G172" s="90"/>
      <c r="H172" s="90"/>
      <c r="I172" s="164"/>
      <c r="J172" s="199"/>
      <c r="L172" s="88"/>
      <c r="M172" s="88"/>
      <c r="O172" s="163"/>
      <c r="W172" s="88"/>
      <c r="Z172" s="334"/>
      <c r="AA172" s="90"/>
    </row>
    <row r="173" spans="1:27" ht="25.5" customHeight="1" x14ac:dyDescent="0.2">
      <c r="A173" s="90" t="s">
        <v>628</v>
      </c>
      <c r="B173" s="90" t="s">
        <v>147</v>
      </c>
      <c r="C173" s="88">
        <v>1997</v>
      </c>
      <c r="D173" s="152" t="s">
        <v>282</v>
      </c>
      <c r="E173" s="90" t="s">
        <v>283</v>
      </c>
      <c r="F173" s="90">
        <v>1</v>
      </c>
      <c r="G173" s="90">
        <v>1</v>
      </c>
      <c r="H173" s="90"/>
      <c r="I173" s="164">
        <v>248</v>
      </c>
      <c r="J173" s="199">
        <v>42</v>
      </c>
      <c r="K173" s="90">
        <v>8</v>
      </c>
      <c r="L173" s="89">
        <v>870</v>
      </c>
      <c r="M173" s="89"/>
      <c r="N173" s="164">
        <v>186</v>
      </c>
      <c r="O173" s="199">
        <v>80.8</v>
      </c>
      <c r="P173" s="90">
        <v>8</v>
      </c>
      <c r="Q173" s="90"/>
      <c r="R173" s="157">
        <f>(N173-I173)/SQRT((O173^2+J173^2)/2)</f>
        <v>-0.9628536503438887</v>
      </c>
      <c r="S173" s="90">
        <v>1</v>
      </c>
      <c r="T173" s="174">
        <f>(N173-I173)/SQRT((((P173-1)*O173^2) + ((K173-1)*J173^2))/(P173+K173-2))*S173</f>
        <v>-0.9628536503438887</v>
      </c>
      <c r="U173" s="174">
        <f>T173*(1-(3/(4*(K173+P173-2) -1)))</f>
        <v>-0.91033436032513115</v>
      </c>
      <c r="V173" s="174">
        <f>((N173-I173)/O173)*S173 * (1-(3/(4*(K173+P173-2)-1)))</f>
        <v>-0.72547254725472543</v>
      </c>
      <c r="W173" s="343">
        <f>V178-(V179*2.5)</f>
        <v>-4.3393444225786482</v>
      </c>
      <c r="X173" s="90">
        <v>4</v>
      </c>
      <c r="Y173" s="90" t="s">
        <v>81</v>
      </c>
      <c r="Z173" s="88" t="s">
        <v>151</v>
      </c>
      <c r="AA173" s="90" t="s">
        <v>81</v>
      </c>
    </row>
    <row r="174" spans="1:27" ht="25.5" customHeight="1" x14ac:dyDescent="0.2">
      <c r="A174" s="90" t="s">
        <v>281</v>
      </c>
      <c r="B174" s="88" t="s">
        <v>286</v>
      </c>
      <c r="C174" s="88">
        <v>2011</v>
      </c>
      <c r="D174" s="152" t="s">
        <v>287</v>
      </c>
      <c r="E174" s="90" t="s">
        <v>288</v>
      </c>
      <c r="F174" s="88">
        <v>2</v>
      </c>
      <c r="G174" s="90">
        <v>2</v>
      </c>
      <c r="H174" s="90"/>
      <c r="I174" s="163">
        <v>5.56</v>
      </c>
      <c r="J174" s="155">
        <v>0.77</v>
      </c>
      <c r="K174" s="88">
        <v>56</v>
      </c>
      <c r="L174" s="89">
        <v>1461</v>
      </c>
      <c r="M174" s="89"/>
      <c r="N174" s="163">
        <v>5.92</v>
      </c>
      <c r="O174" s="155">
        <v>0.11</v>
      </c>
      <c r="P174" s="88">
        <v>56</v>
      </c>
      <c r="R174" s="157">
        <f>(N174-I174)/SQRT((O174^2+J174^2)/2)</f>
        <v>0.6545454545454551</v>
      </c>
      <c r="S174" s="90">
        <v>-1</v>
      </c>
      <c r="T174" s="174">
        <f>(N174-I174)/SQRT((((P174-1)*O174^2) + ((K174-1)*J174^2))/(P174+K174-2))*S174</f>
        <v>-0.6545454545454551</v>
      </c>
      <c r="U174" s="174">
        <f>T174*(1-(3/(4*(K174+P174-2) -1)))</f>
        <v>-0.65007247877407381</v>
      </c>
      <c r="V174" s="174">
        <f>((N174-I174)/O174)*S174 * (1-(3/(4*(K174+P174-2)-1)))</f>
        <v>-3.2503623938703696</v>
      </c>
      <c r="X174" s="156" t="s">
        <v>75</v>
      </c>
      <c r="Y174" s="90" t="s">
        <v>289</v>
      </c>
      <c r="Z174" s="88" t="s">
        <v>290</v>
      </c>
      <c r="AA174" s="90" t="s">
        <v>81</v>
      </c>
    </row>
    <row r="175" spans="1:27" ht="25.5" customHeight="1" x14ac:dyDescent="0.2">
      <c r="A175" s="90" t="s">
        <v>281</v>
      </c>
      <c r="B175" s="88" t="s">
        <v>291</v>
      </c>
      <c r="C175" s="88">
        <v>2011</v>
      </c>
      <c r="D175" s="152" t="s">
        <v>287</v>
      </c>
      <c r="E175" s="90" t="s">
        <v>288</v>
      </c>
      <c r="F175" s="88">
        <v>3</v>
      </c>
      <c r="G175" s="90">
        <v>3</v>
      </c>
      <c r="H175" s="90"/>
      <c r="I175" s="163">
        <v>6</v>
      </c>
      <c r="J175" s="155">
        <v>0.92</v>
      </c>
      <c r="K175" s="88">
        <v>21</v>
      </c>
      <c r="L175" s="89">
        <v>640</v>
      </c>
      <c r="M175" s="89"/>
      <c r="N175" s="163">
        <v>5.94</v>
      </c>
      <c r="O175" s="155">
        <v>0.18</v>
      </c>
      <c r="P175" s="88">
        <v>21</v>
      </c>
      <c r="R175" s="157">
        <f>(N175-I175)/SQRT((O175^2+J175^2)/2)</f>
        <v>-9.0515139294545882E-2</v>
      </c>
      <c r="S175" s="90">
        <v>-1</v>
      </c>
      <c r="T175" s="174">
        <f>(N175-I175)/SQRT((((P175-1)*O175^2) + ((K175-1)*J175^2))/(P175+K175-2))*S175</f>
        <v>9.0515139294545882E-2</v>
      </c>
      <c r="U175" s="174">
        <f>T175*(1-(3/(4*(K175+P175-2) -1)))</f>
        <v>8.8807306477667658E-2</v>
      </c>
      <c r="V175" s="174">
        <f>((N175-I175)/O175)*S175 * (1-(3/(4*(K175+P175-2)-1)))</f>
        <v>0.32704402515723058</v>
      </c>
      <c r="X175" s="156" t="s">
        <v>75</v>
      </c>
      <c r="Y175" s="90" t="s">
        <v>289</v>
      </c>
      <c r="Z175" s="88" t="s">
        <v>290</v>
      </c>
      <c r="AA175" s="90" t="s">
        <v>48</v>
      </c>
    </row>
    <row r="176" spans="1:27" ht="25.5" customHeight="1" x14ac:dyDescent="0.2">
      <c r="A176" s="90" t="s">
        <v>281</v>
      </c>
      <c r="B176" s="90" t="s">
        <v>60</v>
      </c>
      <c r="C176" s="88">
        <v>2017</v>
      </c>
      <c r="D176" s="152" t="s">
        <v>284</v>
      </c>
      <c r="E176" s="90" t="s">
        <v>285</v>
      </c>
      <c r="F176" s="90">
        <v>4</v>
      </c>
      <c r="G176" s="90">
        <v>4</v>
      </c>
      <c r="H176" s="90"/>
      <c r="I176" s="164">
        <v>332</v>
      </c>
      <c r="J176" s="199">
        <v>52.9</v>
      </c>
      <c r="K176" s="90">
        <v>37</v>
      </c>
      <c r="L176" s="89">
        <v>720</v>
      </c>
      <c r="M176" s="89"/>
      <c r="N176" s="164">
        <v>316</v>
      </c>
      <c r="O176" s="199">
        <v>56.9</v>
      </c>
      <c r="P176" s="90">
        <v>30</v>
      </c>
      <c r="Q176" s="90"/>
      <c r="R176" s="157">
        <f>(N176-I176)/SQRT((O176^2+J176^2)/2)</f>
        <v>-0.29124578271729507</v>
      </c>
      <c r="S176" s="90">
        <v>1</v>
      </c>
      <c r="T176" s="174">
        <f>(N176-I176)/SQRT((((P176-1)*O176^2) + ((K176-1)*J176^2))/(P176+K176-2))*S176</f>
        <v>-0.29239363913630956</v>
      </c>
      <c r="U176" s="174">
        <f>T176*(1-(3/(4*(K176+P176-2) -1)))</f>
        <v>-0.28900684022739476</v>
      </c>
      <c r="V176" s="174">
        <f>((N176-I176)/O176)*S176 * (1-(3/(4*(K176+P176-2)-1)))</f>
        <v>-0.27793799322797569</v>
      </c>
      <c r="X176" s="90">
        <v>1</v>
      </c>
      <c r="Y176" s="90" t="s">
        <v>63</v>
      </c>
      <c r="Z176" s="88" t="s">
        <v>32</v>
      </c>
      <c r="AA176" s="90" t="s">
        <v>81</v>
      </c>
    </row>
    <row r="177" spans="1:27" ht="25.5" customHeight="1" x14ac:dyDescent="0.2">
      <c r="A177" s="90" t="s">
        <v>281</v>
      </c>
      <c r="B177" s="88" t="s">
        <v>77</v>
      </c>
      <c r="C177" s="88">
        <v>2020</v>
      </c>
      <c r="D177" s="152" t="s">
        <v>284</v>
      </c>
      <c r="E177" s="90" t="s">
        <v>285</v>
      </c>
      <c r="F177" s="88">
        <v>5</v>
      </c>
      <c r="G177" s="90">
        <v>5</v>
      </c>
      <c r="H177" s="90"/>
      <c r="I177" s="163">
        <v>325</v>
      </c>
      <c r="J177" s="155">
        <v>46</v>
      </c>
      <c r="K177" s="88">
        <v>19</v>
      </c>
      <c r="L177" s="89">
        <v>1042</v>
      </c>
      <c r="M177" s="89"/>
      <c r="N177" s="163">
        <v>315</v>
      </c>
      <c r="O177" s="155">
        <v>44.6</v>
      </c>
      <c r="P177" s="88">
        <v>19</v>
      </c>
      <c r="R177" s="157">
        <f>(N177-I177)/SQRT((O177^2+J177^2)/2)</f>
        <v>-0.22072420108207461</v>
      </c>
      <c r="S177" s="90">
        <v>1</v>
      </c>
      <c r="T177" s="174">
        <f>(N177-I177)/SQRT((((P177-1)*O177^2) + ((K177-1)*J177^2))/(P177+K177-2))*S177</f>
        <v>-0.22072420108207461</v>
      </c>
      <c r="U177" s="174">
        <f>T177*(1-(3/(4*(K177+P177-2) -1)))</f>
        <v>-0.21609362343699612</v>
      </c>
      <c r="V177" s="174">
        <f>((N177-I177)/O177)*S177 * (1-(3/(4*(K177+P177-2)-1)))</f>
        <v>-0.2195114302737621</v>
      </c>
      <c r="X177" s="90">
        <v>1</v>
      </c>
      <c r="Y177" s="90" t="s">
        <v>63</v>
      </c>
      <c r="Z177" s="156" t="s">
        <v>44</v>
      </c>
      <c r="AA177" s="90" t="s">
        <v>81</v>
      </c>
    </row>
    <row r="178" spans="1:27" ht="25.5" customHeight="1" x14ac:dyDescent="0.2">
      <c r="F178" s="337">
        <v>5</v>
      </c>
      <c r="G178" s="173">
        <v>6</v>
      </c>
      <c r="I178" s="163"/>
      <c r="J178" s="155">
        <f>AVERAGE(J173:J177)</f>
        <v>28.518000000000001</v>
      </c>
      <c r="K178" s="173">
        <f>SUM(K175,K174,K173,K176,K177,,,,)</f>
        <v>141</v>
      </c>
      <c r="L178" s="347">
        <f>AVERAGE(L175,L174,L173,L176,L177)</f>
        <v>946.6</v>
      </c>
      <c r="M178" s="347"/>
      <c r="N178" s="164"/>
      <c r="O178" s="155">
        <f>AVERAGE(O173:O177)</f>
        <v>36.518000000000001</v>
      </c>
      <c r="P178" s="173">
        <f>SUM(P175,P174,P173,P176,P177,,,,)</f>
        <v>134</v>
      </c>
      <c r="T178" s="189">
        <f>AVERAGE(T173:T177)</f>
        <v>-0.40800036116263644</v>
      </c>
      <c r="U178" s="189">
        <f>AVERAGE(U173:U177)</f>
        <v>-0.39533999925718566</v>
      </c>
      <c r="V178" s="189">
        <f>AVERAGE(V173:V177)</f>
        <v>-0.82924806789392047</v>
      </c>
      <c r="Y178" s="90" t="s">
        <v>63</v>
      </c>
      <c r="AA178" s="90"/>
    </row>
    <row r="179" spans="1:27" ht="25.5" customHeight="1" x14ac:dyDescent="0.2">
      <c r="A179" s="90"/>
      <c r="B179" s="90"/>
      <c r="D179" s="152"/>
      <c r="F179" s="90"/>
      <c r="G179" s="90"/>
      <c r="H179" s="90"/>
      <c r="I179" s="164"/>
      <c r="J179" s="199"/>
      <c r="K179" s="90"/>
      <c r="L179" s="89"/>
      <c r="M179" s="89"/>
      <c r="N179" s="164"/>
      <c r="O179" s="199"/>
      <c r="P179" s="90"/>
      <c r="Q179" s="90"/>
      <c r="R179" s="157"/>
      <c r="S179" s="90"/>
      <c r="T179" s="197">
        <f>STDEV(T173:T177)</f>
        <v>0.40792206182513119</v>
      </c>
      <c r="U179" s="197">
        <f>STDEV(U173:U177)</f>
        <v>0.38985332038372073</v>
      </c>
      <c r="V179" s="197">
        <f>STDEV(V173:V177)</f>
        <v>1.4040385418738912</v>
      </c>
      <c r="W179" s="88"/>
      <c r="AA179" s="90"/>
    </row>
    <row r="180" spans="1:27" ht="25.5" customHeight="1" x14ac:dyDescent="0.2">
      <c r="A180" s="90" t="s">
        <v>292</v>
      </c>
      <c r="B180" s="90" t="s">
        <v>159</v>
      </c>
      <c r="C180" s="88">
        <v>2017</v>
      </c>
      <c r="D180" s="152" t="s">
        <v>293</v>
      </c>
      <c r="E180" s="90" t="s">
        <v>294</v>
      </c>
      <c r="F180" s="90">
        <v>1</v>
      </c>
      <c r="G180" s="90">
        <v>1</v>
      </c>
      <c r="H180" s="90"/>
      <c r="I180" s="164">
        <v>605</v>
      </c>
      <c r="J180" s="199">
        <v>146</v>
      </c>
      <c r="K180" s="90">
        <v>57</v>
      </c>
      <c r="L180" s="89">
        <v>655</v>
      </c>
      <c r="M180" s="89"/>
      <c r="N180" s="164">
        <v>549</v>
      </c>
      <c r="O180" s="199">
        <v>80</v>
      </c>
      <c r="P180" s="90">
        <v>57</v>
      </c>
      <c r="Q180" s="90"/>
      <c r="R180" s="157">
        <f t="shared" ref="R180:R189" si="51">(N180-I180)/SQRT((O180^2+J180^2)/2)</f>
        <v>-0.47570503539933895</v>
      </c>
      <c r="S180" s="90">
        <v>1</v>
      </c>
      <c r="T180" s="174">
        <f t="shared" ref="T180:T189" si="52">(N180-I180)/SQRT((((P180-1)*O180^2) + ((K180-1)*J180^2))/(P180+K180-2))*S180</f>
        <v>-0.47570503539933895</v>
      </c>
      <c r="U180" s="174">
        <f t="shared" ref="U180:U189" si="53">T180*(1-(3/(4*(K180+P180-2) -1)))</f>
        <v>-0.47251238415504809</v>
      </c>
      <c r="V180" s="174">
        <f t="shared" ref="V180:V189" si="54">((N180-I180)/O180)*S180 * (1-(3/(4*(K180+P180-2)-1)))</f>
        <v>-0.69530201342281872</v>
      </c>
      <c r="W180" s="343">
        <f>V190-(V191*2.5)</f>
        <v>-1.9382034960166106</v>
      </c>
      <c r="X180" s="90">
        <v>1</v>
      </c>
      <c r="Y180" s="90" t="s">
        <v>63</v>
      </c>
      <c r="Z180" s="88" t="s">
        <v>44</v>
      </c>
      <c r="AA180" s="90" t="s">
        <v>48</v>
      </c>
    </row>
    <row r="181" spans="1:27" ht="25.5" customHeight="1" x14ac:dyDescent="0.2">
      <c r="A181" s="90" t="s">
        <v>292</v>
      </c>
      <c r="B181" s="90" t="s">
        <v>159</v>
      </c>
      <c r="C181" s="88">
        <v>2017</v>
      </c>
      <c r="D181" s="152" t="s">
        <v>295</v>
      </c>
      <c r="E181" s="90" t="s">
        <v>296</v>
      </c>
      <c r="F181" s="90">
        <v>1</v>
      </c>
      <c r="G181" s="90">
        <v>2</v>
      </c>
      <c r="H181" s="90"/>
      <c r="I181" s="164">
        <v>2144</v>
      </c>
      <c r="J181" s="199">
        <v>570</v>
      </c>
      <c r="K181" s="90">
        <v>57</v>
      </c>
      <c r="L181" s="89">
        <v>655</v>
      </c>
      <c r="M181" s="89"/>
      <c r="N181" s="164">
        <v>1875</v>
      </c>
      <c r="O181" s="199">
        <v>418</v>
      </c>
      <c r="P181" s="90">
        <v>57</v>
      </c>
      <c r="Q181" s="90"/>
      <c r="R181" s="157">
        <f t="shared" si="51"/>
        <v>-0.53820240216197568</v>
      </c>
      <c r="S181" s="90">
        <v>1</v>
      </c>
      <c r="T181" s="174">
        <f t="shared" si="52"/>
        <v>-0.53820240216197568</v>
      </c>
      <c r="U181" s="174">
        <f t="shared" si="53"/>
        <v>-0.53459030550317044</v>
      </c>
      <c r="V181" s="174">
        <f t="shared" si="54"/>
        <v>-0.63922160495809377</v>
      </c>
      <c r="X181" s="90">
        <v>1</v>
      </c>
      <c r="Y181" s="90" t="s">
        <v>63</v>
      </c>
      <c r="Z181" s="88" t="s">
        <v>44</v>
      </c>
      <c r="AA181" s="90" t="s">
        <v>48</v>
      </c>
    </row>
    <row r="182" spans="1:27" ht="25.5" customHeight="1" x14ac:dyDescent="0.2">
      <c r="A182" s="90" t="s">
        <v>292</v>
      </c>
      <c r="B182" s="90" t="s">
        <v>60</v>
      </c>
      <c r="C182" s="88">
        <v>2017</v>
      </c>
      <c r="D182" s="152" t="s">
        <v>622</v>
      </c>
      <c r="E182" s="90" t="s">
        <v>298</v>
      </c>
      <c r="F182" s="90">
        <v>2</v>
      </c>
      <c r="G182" s="90">
        <v>3</v>
      </c>
      <c r="H182" s="90"/>
      <c r="I182" s="164">
        <v>307</v>
      </c>
      <c r="J182" s="199">
        <v>42</v>
      </c>
      <c r="K182" s="90">
        <v>37</v>
      </c>
      <c r="L182" s="89">
        <v>720</v>
      </c>
      <c r="M182" s="89"/>
      <c r="N182" s="164">
        <v>281</v>
      </c>
      <c r="O182" s="199">
        <v>31.3</v>
      </c>
      <c r="P182" s="90">
        <v>30</v>
      </c>
      <c r="Q182" s="90"/>
      <c r="R182" s="157">
        <f t="shared" si="51"/>
        <v>-0.70197367472588612</v>
      </c>
      <c r="S182" s="90">
        <v>1</v>
      </c>
      <c r="T182" s="174">
        <f t="shared" si="52"/>
        <v>-0.69141183141224827</v>
      </c>
      <c r="U182" s="174">
        <f t="shared" si="53"/>
        <v>-0.68340320016036893</v>
      </c>
      <c r="V182" s="174">
        <f t="shared" si="54"/>
        <v>-0.82104925555404795</v>
      </c>
      <c r="X182" s="90">
        <v>1</v>
      </c>
      <c r="Y182" s="90" t="s">
        <v>63</v>
      </c>
      <c r="Z182" s="88" t="s">
        <v>32</v>
      </c>
      <c r="AA182" s="90" t="s">
        <v>48</v>
      </c>
    </row>
    <row r="183" spans="1:27" ht="25.5" customHeight="1" x14ac:dyDescent="0.2">
      <c r="A183" s="90" t="s">
        <v>292</v>
      </c>
      <c r="B183" s="90" t="s">
        <v>60</v>
      </c>
      <c r="C183" s="88">
        <v>2017</v>
      </c>
      <c r="D183" s="152" t="s">
        <v>299</v>
      </c>
      <c r="E183" s="90" t="s">
        <v>300</v>
      </c>
      <c r="F183" s="90">
        <v>2</v>
      </c>
      <c r="G183" s="90">
        <v>4</v>
      </c>
      <c r="H183" s="90"/>
      <c r="I183" s="164">
        <v>438</v>
      </c>
      <c r="J183" s="199">
        <v>70.599999999999994</v>
      </c>
      <c r="K183" s="90">
        <v>37</v>
      </c>
      <c r="L183" s="89">
        <v>720</v>
      </c>
      <c r="M183" s="89"/>
      <c r="N183" s="164">
        <v>407</v>
      </c>
      <c r="O183" s="199">
        <v>72.2</v>
      </c>
      <c r="P183" s="90">
        <v>30</v>
      </c>
      <c r="Q183" s="90"/>
      <c r="R183" s="157">
        <f t="shared" si="51"/>
        <v>-0.43414641886282429</v>
      </c>
      <c r="S183" s="90">
        <v>1</v>
      </c>
      <c r="T183" s="174">
        <f t="shared" si="52"/>
        <v>-0.43467115985094928</v>
      </c>
      <c r="U183" s="174">
        <f t="shared" si="53"/>
        <v>-0.42963635877159467</v>
      </c>
      <c r="V183" s="174">
        <f t="shared" si="54"/>
        <v>-0.42438956566380392</v>
      </c>
      <c r="X183" s="90">
        <v>1</v>
      </c>
      <c r="Y183" s="90" t="s">
        <v>63</v>
      </c>
      <c r="Z183" s="88" t="s">
        <v>32</v>
      </c>
      <c r="AA183" s="90" t="s">
        <v>48</v>
      </c>
    </row>
    <row r="184" spans="1:27" ht="25.5" customHeight="1" x14ac:dyDescent="0.2">
      <c r="A184" s="90" t="s">
        <v>292</v>
      </c>
      <c r="B184" s="90" t="s">
        <v>60</v>
      </c>
      <c r="C184" s="88">
        <v>2017</v>
      </c>
      <c r="D184" s="152" t="s">
        <v>301</v>
      </c>
      <c r="E184" s="90" t="s">
        <v>301</v>
      </c>
      <c r="F184" s="90">
        <v>2</v>
      </c>
      <c r="G184" s="90">
        <v>5</v>
      </c>
      <c r="H184" s="90"/>
      <c r="I184" s="164">
        <v>606</v>
      </c>
      <c r="J184" s="199">
        <v>167.6</v>
      </c>
      <c r="K184" s="90">
        <v>37</v>
      </c>
      <c r="L184" s="89">
        <v>720</v>
      </c>
      <c r="M184" s="89"/>
      <c r="N184" s="164">
        <v>498</v>
      </c>
      <c r="O184" s="199">
        <v>71.7</v>
      </c>
      <c r="P184" s="90">
        <v>30</v>
      </c>
      <c r="Q184" s="90"/>
      <c r="R184" s="157">
        <f t="shared" si="51"/>
        <v>-0.83785590572546365</v>
      </c>
      <c r="S184" s="90">
        <v>1</v>
      </c>
      <c r="T184" s="174">
        <f t="shared" si="52"/>
        <v>-0.80833628560573023</v>
      </c>
      <c r="U184" s="174">
        <f t="shared" si="53"/>
        <v>-0.79897331704659047</v>
      </c>
      <c r="V184" s="174">
        <f t="shared" si="54"/>
        <v>-1.4888289365276812</v>
      </c>
      <c r="X184" s="90">
        <v>1</v>
      </c>
      <c r="Y184" s="90" t="s">
        <v>63</v>
      </c>
      <c r="Z184" s="88" t="s">
        <v>32</v>
      </c>
      <c r="AA184" s="90" t="s">
        <v>48</v>
      </c>
    </row>
    <row r="185" spans="1:27" ht="25.5" customHeight="1" x14ac:dyDescent="0.2">
      <c r="A185" s="90" t="s">
        <v>292</v>
      </c>
      <c r="B185" s="90" t="s">
        <v>60</v>
      </c>
      <c r="C185" s="88">
        <v>2017</v>
      </c>
      <c r="D185" s="152" t="s">
        <v>302</v>
      </c>
      <c r="E185" s="90" t="s">
        <v>302</v>
      </c>
      <c r="F185" s="90">
        <v>2</v>
      </c>
      <c r="G185" s="90">
        <v>6</v>
      </c>
      <c r="H185" s="90"/>
      <c r="I185" s="164">
        <v>1008</v>
      </c>
      <c r="J185" s="199">
        <v>239.7</v>
      </c>
      <c r="K185" s="90">
        <v>37</v>
      </c>
      <c r="L185" s="89">
        <v>720</v>
      </c>
      <c r="M185" s="89"/>
      <c r="N185" s="164">
        <v>841</v>
      </c>
      <c r="O185" s="199">
        <v>126.3</v>
      </c>
      <c r="P185" s="90">
        <v>30</v>
      </c>
      <c r="Q185" s="90"/>
      <c r="R185" s="157">
        <f t="shared" si="51"/>
        <v>-0.87168670832676065</v>
      </c>
      <c r="S185" s="90">
        <v>1</v>
      </c>
      <c r="T185" s="174">
        <f t="shared" si="52"/>
        <v>-0.84630228046477529</v>
      </c>
      <c r="U185" s="174">
        <f t="shared" si="53"/>
        <v>-0.83649955134742271</v>
      </c>
      <c r="V185" s="174">
        <f t="shared" si="54"/>
        <v>-1.306932993393801</v>
      </c>
      <c r="X185" s="90">
        <v>1</v>
      </c>
      <c r="Y185" s="90" t="s">
        <v>63</v>
      </c>
      <c r="Z185" s="88" t="s">
        <v>32</v>
      </c>
      <c r="AA185" s="90" t="s">
        <v>48</v>
      </c>
    </row>
    <row r="186" spans="1:27" ht="25.5" customHeight="1" x14ac:dyDescent="0.2">
      <c r="A186" s="90" t="s">
        <v>292</v>
      </c>
      <c r="B186" s="90" t="s">
        <v>72</v>
      </c>
      <c r="C186" s="88">
        <v>1994</v>
      </c>
      <c r="D186" s="152" t="s">
        <v>303</v>
      </c>
      <c r="E186" s="90" t="s">
        <v>304</v>
      </c>
      <c r="F186" s="90">
        <v>3</v>
      </c>
      <c r="G186" s="90">
        <v>7</v>
      </c>
      <c r="H186" s="90"/>
      <c r="I186" s="164">
        <v>461</v>
      </c>
      <c r="J186" s="199">
        <v>132</v>
      </c>
      <c r="K186" s="90">
        <v>25</v>
      </c>
      <c r="L186" s="89">
        <v>1332</v>
      </c>
      <c r="M186" s="89"/>
      <c r="N186" s="164">
        <v>395</v>
      </c>
      <c r="O186" s="199">
        <v>48</v>
      </c>
      <c r="P186" s="90">
        <v>15</v>
      </c>
      <c r="Q186" s="90"/>
      <c r="R186" s="157">
        <f t="shared" si="51"/>
        <v>-0.66453430266319469</v>
      </c>
      <c r="S186" s="90">
        <v>1</v>
      </c>
      <c r="T186" s="174">
        <f t="shared" si="52"/>
        <v>-0.60620723542054067</v>
      </c>
      <c r="U186" s="174">
        <f t="shared" si="53"/>
        <v>-0.59416338306119221</v>
      </c>
      <c r="V186" s="174">
        <f t="shared" si="54"/>
        <v>-1.3476821192052981</v>
      </c>
      <c r="X186" s="90">
        <v>2</v>
      </c>
      <c r="Y186" s="90" t="s">
        <v>31</v>
      </c>
      <c r="Z186" s="88" t="s">
        <v>32</v>
      </c>
      <c r="AA186" s="90" t="s">
        <v>31</v>
      </c>
    </row>
    <row r="187" spans="1:27" ht="25.5" customHeight="1" x14ac:dyDescent="0.2">
      <c r="A187" s="90" t="s">
        <v>292</v>
      </c>
      <c r="B187" s="88" t="s">
        <v>77</v>
      </c>
      <c r="C187" s="88">
        <v>2020</v>
      </c>
      <c r="D187" s="152" t="s">
        <v>299</v>
      </c>
      <c r="E187" s="90" t="s">
        <v>300</v>
      </c>
      <c r="F187" s="88">
        <v>4</v>
      </c>
      <c r="G187" s="90">
        <v>8</v>
      </c>
      <c r="H187" s="90"/>
      <c r="I187" s="163">
        <v>483</v>
      </c>
      <c r="J187" s="155">
        <v>104</v>
      </c>
      <c r="K187" s="88">
        <v>19</v>
      </c>
      <c r="L187" s="89">
        <v>1042</v>
      </c>
      <c r="M187" s="89"/>
      <c r="N187" s="163">
        <v>430</v>
      </c>
      <c r="O187" s="155">
        <v>58</v>
      </c>
      <c r="P187" s="88">
        <v>19</v>
      </c>
      <c r="R187" s="157">
        <f t="shared" si="51"/>
        <v>-0.62943770101896013</v>
      </c>
      <c r="S187" s="90">
        <v>1</v>
      </c>
      <c r="T187" s="174">
        <f t="shared" si="52"/>
        <v>-0.62943770101896013</v>
      </c>
      <c r="U187" s="174">
        <f t="shared" si="53"/>
        <v>-0.6162327142842966</v>
      </c>
      <c r="V187" s="174">
        <f t="shared" si="54"/>
        <v>-0.89462261876054994</v>
      </c>
      <c r="X187" s="90">
        <v>1</v>
      </c>
      <c r="Y187" s="90" t="s">
        <v>63</v>
      </c>
      <c r="Z187" s="88" t="s">
        <v>44</v>
      </c>
      <c r="AA187" s="90" t="s">
        <v>48</v>
      </c>
    </row>
    <row r="188" spans="1:27" ht="25.5" customHeight="1" x14ac:dyDescent="0.2">
      <c r="A188" s="90" t="s">
        <v>292</v>
      </c>
      <c r="B188" s="88" t="s">
        <v>77</v>
      </c>
      <c r="C188" s="88">
        <v>2020</v>
      </c>
      <c r="D188" s="152" t="s">
        <v>301</v>
      </c>
      <c r="E188" s="90" t="s">
        <v>301</v>
      </c>
      <c r="F188" s="88">
        <v>4</v>
      </c>
      <c r="G188" s="90">
        <v>9</v>
      </c>
      <c r="H188" s="90"/>
      <c r="I188" s="163">
        <v>752</v>
      </c>
      <c r="J188" s="155">
        <v>262</v>
      </c>
      <c r="K188" s="88">
        <v>19</v>
      </c>
      <c r="L188" s="89">
        <v>1042</v>
      </c>
      <c r="M188" s="89"/>
      <c r="N188" s="163">
        <v>586</v>
      </c>
      <c r="O188" s="155">
        <v>113</v>
      </c>
      <c r="P188" s="88">
        <v>19</v>
      </c>
      <c r="R188" s="157">
        <f t="shared" si="51"/>
        <v>-0.82276575383526052</v>
      </c>
      <c r="S188" s="90">
        <v>1</v>
      </c>
      <c r="T188" s="174">
        <f t="shared" si="52"/>
        <v>-0.82276575383526052</v>
      </c>
      <c r="U188" s="174">
        <f t="shared" si="53"/>
        <v>-0.80550493382473065</v>
      </c>
      <c r="V188" s="174">
        <f t="shared" si="54"/>
        <v>-1.4382078098892259</v>
      </c>
      <c r="X188" s="90">
        <v>1</v>
      </c>
      <c r="Y188" s="90" t="s">
        <v>63</v>
      </c>
      <c r="Z188" s="88" t="s">
        <v>44</v>
      </c>
      <c r="AA188" s="90" t="s">
        <v>48</v>
      </c>
    </row>
    <row r="189" spans="1:27" ht="25.5" customHeight="1" x14ac:dyDescent="0.2">
      <c r="A189" s="90" t="s">
        <v>292</v>
      </c>
      <c r="B189" s="88" t="s">
        <v>77</v>
      </c>
      <c r="C189" s="88">
        <v>2020</v>
      </c>
      <c r="D189" s="152" t="s">
        <v>302</v>
      </c>
      <c r="E189" s="90" t="s">
        <v>302</v>
      </c>
      <c r="F189" s="88">
        <v>4</v>
      </c>
      <c r="G189" s="90">
        <v>10</v>
      </c>
      <c r="H189" s="90"/>
      <c r="I189" s="163">
        <v>1152</v>
      </c>
      <c r="J189" s="155">
        <v>237</v>
      </c>
      <c r="K189" s="88">
        <v>19</v>
      </c>
      <c r="L189" s="89">
        <v>1042</v>
      </c>
      <c r="M189" s="89"/>
      <c r="N189" s="163">
        <v>938</v>
      </c>
      <c r="O189" s="155">
        <v>203</v>
      </c>
      <c r="P189" s="88">
        <v>19</v>
      </c>
      <c r="R189" s="157">
        <f t="shared" si="51"/>
        <v>-0.9698361004090521</v>
      </c>
      <c r="S189" s="90">
        <v>1</v>
      </c>
      <c r="T189" s="174">
        <f t="shared" si="52"/>
        <v>-0.9698361004090521</v>
      </c>
      <c r="U189" s="174">
        <f t="shared" si="53"/>
        <v>-0.94948988851235872</v>
      </c>
      <c r="V189" s="174">
        <f t="shared" si="54"/>
        <v>-1.0320713768989631</v>
      </c>
      <c r="X189" s="90">
        <v>1</v>
      </c>
      <c r="Y189" s="90" t="s">
        <v>63</v>
      </c>
      <c r="Z189" s="88" t="s">
        <v>44</v>
      </c>
      <c r="AA189" s="90" t="s">
        <v>48</v>
      </c>
    </row>
    <row r="190" spans="1:27" ht="18.75" customHeight="1" x14ac:dyDescent="0.2">
      <c r="A190" s="90"/>
      <c r="B190" s="90"/>
      <c r="D190" s="152"/>
      <c r="F190" s="173">
        <v>4</v>
      </c>
      <c r="G190" s="173">
        <v>10</v>
      </c>
      <c r="H190" s="90"/>
      <c r="I190" s="164"/>
      <c r="J190" s="155">
        <f>AVERAGE(J180:J189)</f>
        <v>197.09</v>
      </c>
      <c r="K190" s="173">
        <f>SUM(K186,K185,K181,K187)</f>
        <v>138</v>
      </c>
      <c r="L190" s="347">
        <f>AVERAGE(L186,L185,L181,L187)</f>
        <v>937.25</v>
      </c>
      <c r="M190" s="347"/>
      <c r="N190" s="164"/>
      <c r="O190" s="155">
        <f>AVERAGE(O180:O189)</f>
        <v>122.15</v>
      </c>
      <c r="P190" s="173">
        <f>SUM(P186,P185,P181,P187)</f>
        <v>121</v>
      </c>
      <c r="Q190" s="90"/>
      <c r="R190" s="157"/>
      <c r="S190" s="90"/>
      <c r="T190" s="189">
        <f>AVERAGE(T180:T189)</f>
        <v>-0.68228757855788302</v>
      </c>
      <c r="U190" s="189">
        <f t="shared" ref="U190:V190" si="55">AVERAGE(U180:U189)</f>
        <v>-0.67210060366667734</v>
      </c>
      <c r="V190" s="189">
        <f t="shared" si="55"/>
        <v>-1.0088308294274284</v>
      </c>
    </row>
    <row r="191" spans="1:27" ht="18.75" customHeight="1" x14ac:dyDescent="0.2">
      <c r="A191" s="90"/>
      <c r="B191" s="90"/>
      <c r="D191" s="152"/>
      <c r="F191" s="90"/>
      <c r="G191" s="90"/>
      <c r="H191" s="90"/>
      <c r="I191" s="164"/>
      <c r="J191" s="199"/>
      <c r="K191" s="90"/>
      <c r="L191" s="89"/>
      <c r="M191" s="89"/>
      <c r="N191" s="164"/>
      <c r="O191" s="199"/>
      <c r="P191" s="90"/>
      <c r="Q191" s="90"/>
      <c r="R191" s="157"/>
      <c r="S191" s="90"/>
      <c r="T191" s="197">
        <f t="shared" ref="T191:V191" si="56">STDEV(T180:T189)</f>
        <v>0.17594908521885311</v>
      </c>
      <c r="U191" s="197">
        <f t="shared" si="56"/>
        <v>0.17150376078794108</v>
      </c>
      <c r="V191" s="197">
        <f t="shared" si="56"/>
        <v>0.37174906663567292</v>
      </c>
    </row>
    <row r="192" spans="1:27" ht="25.5" customHeight="1" x14ac:dyDescent="0.2">
      <c r="A192" s="90" t="s">
        <v>305</v>
      </c>
      <c r="B192" s="90" t="s">
        <v>159</v>
      </c>
      <c r="C192" s="88">
        <v>2017</v>
      </c>
      <c r="D192" s="152" t="s">
        <v>306</v>
      </c>
      <c r="E192" s="90" t="s">
        <v>307</v>
      </c>
      <c r="F192" s="90">
        <v>1</v>
      </c>
      <c r="G192" s="90">
        <v>1</v>
      </c>
      <c r="H192" s="90"/>
      <c r="I192" s="164">
        <v>1.7</v>
      </c>
      <c r="J192" s="199">
        <v>2.4</v>
      </c>
      <c r="K192" s="90">
        <v>57</v>
      </c>
      <c r="L192" s="89">
        <v>655</v>
      </c>
      <c r="M192" s="89"/>
      <c r="N192" s="164">
        <v>1.7</v>
      </c>
      <c r="O192" s="199">
        <v>2.2000000000000002</v>
      </c>
      <c r="P192" s="90">
        <v>57</v>
      </c>
      <c r="Q192" s="90"/>
      <c r="R192" s="157">
        <f t="shared" ref="R192:R200" si="57">(N192-I192)/SQRT((O192^2+J192^2)/2)</f>
        <v>0</v>
      </c>
      <c r="S192" s="90">
        <v>1</v>
      </c>
      <c r="T192" s="174">
        <f t="shared" ref="T192:T200" si="58">(N192-I192)/SQRT((((P192-1)*O192^2) + ((K192-1)*J192^2))/(P192+K192-2))*S192</f>
        <v>0</v>
      </c>
      <c r="U192" s="174">
        <f t="shared" ref="U192:U200" si="59">T192*(1-(3/(4*(K192+P192-2) -1)))</f>
        <v>0</v>
      </c>
      <c r="V192" s="174">
        <f t="shared" ref="V192:V200" si="60">((N192-I192)/O192)*S192 * (1-(3/(4*(K192+P192-2)-1)))</f>
        <v>0</v>
      </c>
      <c r="W192" s="343">
        <f xml:space="preserve"> AVERAGE(V192:V200)- 2.5*(STDEV(V192:V200))</f>
        <v>-0.90561920198479207</v>
      </c>
      <c r="X192" s="90">
        <v>1</v>
      </c>
      <c r="Y192" s="90" t="s">
        <v>63</v>
      </c>
      <c r="Z192" s="88" t="s">
        <v>44</v>
      </c>
      <c r="AA192" s="90" t="s">
        <v>48</v>
      </c>
    </row>
    <row r="193" spans="1:27" ht="25.5" customHeight="1" x14ac:dyDescent="0.2">
      <c r="A193" s="90" t="s">
        <v>305</v>
      </c>
      <c r="B193" s="90" t="s">
        <v>159</v>
      </c>
      <c r="C193" s="88">
        <v>2017</v>
      </c>
      <c r="D193" s="152" t="s">
        <v>308</v>
      </c>
      <c r="E193" s="90" t="s">
        <v>309</v>
      </c>
      <c r="F193" s="90">
        <v>1</v>
      </c>
      <c r="G193" s="90">
        <v>2</v>
      </c>
      <c r="H193" s="90"/>
      <c r="I193" s="164">
        <v>10.3</v>
      </c>
      <c r="J193" s="199">
        <v>6.6</v>
      </c>
      <c r="K193" s="90">
        <v>57</v>
      </c>
      <c r="L193" s="89">
        <v>655</v>
      </c>
      <c r="M193" s="89"/>
      <c r="N193" s="164">
        <v>9.1999999999999993</v>
      </c>
      <c r="O193" s="199">
        <v>8</v>
      </c>
      <c r="P193" s="90">
        <v>57</v>
      </c>
      <c r="Q193" s="90"/>
      <c r="R193" s="157">
        <f t="shared" si="57"/>
        <v>-0.14999690092249193</v>
      </c>
      <c r="S193" s="90">
        <v>1</v>
      </c>
      <c r="T193" s="174">
        <f t="shared" si="58"/>
        <v>-0.14999690092249193</v>
      </c>
      <c r="U193" s="174">
        <f t="shared" si="59"/>
        <v>-0.14899021031227386</v>
      </c>
      <c r="V193" s="174">
        <f t="shared" si="60"/>
        <v>-0.13657718120805387</v>
      </c>
      <c r="X193" s="90">
        <v>1</v>
      </c>
      <c r="Y193" s="90" t="s">
        <v>63</v>
      </c>
      <c r="Z193" s="88" t="s">
        <v>44</v>
      </c>
      <c r="AA193" s="90" t="s">
        <v>48</v>
      </c>
    </row>
    <row r="194" spans="1:27" ht="25.5" customHeight="1" x14ac:dyDescent="0.2">
      <c r="A194" s="90" t="s">
        <v>305</v>
      </c>
      <c r="B194" s="90" t="s">
        <v>60</v>
      </c>
      <c r="C194" s="88">
        <v>2017</v>
      </c>
      <c r="D194" s="152" t="s">
        <v>620</v>
      </c>
      <c r="E194" s="90" t="s">
        <v>311</v>
      </c>
      <c r="F194" s="90">
        <v>2</v>
      </c>
      <c r="G194" s="90">
        <v>3</v>
      </c>
      <c r="H194" s="90"/>
      <c r="I194" s="164">
        <v>0.5</v>
      </c>
      <c r="J194" s="199">
        <v>0.8</v>
      </c>
      <c r="K194" s="90">
        <v>37</v>
      </c>
      <c r="L194" s="89">
        <v>720</v>
      </c>
      <c r="M194" s="89"/>
      <c r="N194" s="164">
        <v>0.4</v>
      </c>
      <c r="O194" s="199">
        <v>0.8</v>
      </c>
      <c r="P194" s="90">
        <v>30</v>
      </c>
      <c r="Q194" s="90"/>
      <c r="R194" s="157">
        <f t="shared" si="57"/>
        <v>-0.12499999999999997</v>
      </c>
      <c r="S194" s="90">
        <v>1</v>
      </c>
      <c r="T194" s="174">
        <f t="shared" si="58"/>
        <v>-0.12499999999999997</v>
      </c>
      <c r="U194" s="174">
        <f t="shared" si="59"/>
        <v>-0.12355212355212353</v>
      </c>
      <c r="V194" s="174">
        <f t="shared" si="60"/>
        <v>-0.12355212355212353</v>
      </c>
      <c r="X194" s="90">
        <v>1</v>
      </c>
      <c r="Y194" s="90" t="s">
        <v>63</v>
      </c>
      <c r="Z194" s="88" t="s">
        <v>32</v>
      </c>
      <c r="AA194" s="90" t="s">
        <v>48</v>
      </c>
    </row>
    <row r="195" spans="1:27" ht="25.5" customHeight="1" x14ac:dyDescent="0.2">
      <c r="A195" s="90" t="s">
        <v>305</v>
      </c>
      <c r="B195" s="90" t="s">
        <v>60</v>
      </c>
      <c r="C195" s="88">
        <v>2017</v>
      </c>
      <c r="D195" s="152" t="s">
        <v>312</v>
      </c>
      <c r="E195" s="90" t="s">
        <v>313</v>
      </c>
      <c r="F195" s="90">
        <v>2</v>
      </c>
      <c r="G195" s="90">
        <v>4</v>
      </c>
      <c r="H195" s="90"/>
      <c r="I195" s="164">
        <v>0.8</v>
      </c>
      <c r="J195" s="199">
        <v>1.1000000000000001</v>
      </c>
      <c r="K195" s="90">
        <v>37</v>
      </c>
      <c r="L195" s="89">
        <v>720</v>
      </c>
      <c r="M195" s="89"/>
      <c r="N195" s="164">
        <v>0.6</v>
      </c>
      <c r="O195" s="199">
        <v>0.6</v>
      </c>
      <c r="P195" s="90">
        <v>30</v>
      </c>
      <c r="Q195" s="90"/>
      <c r="R195" s="157">
        <f t="shared" si="57"/>
        <v>-0.22573305919324019</v>
      </c>
      <c r="S195" s="90">
        <v>1</v>
      </c>
      <c r="T195" s="174">
        <f t="shared" si="58"/>
        <v>-0.21942686286812782</v>
      </c>
      <c r="U195" s="174">
        <f t="shared" si="59"/>
        <v>-0.21688523897390241</v>
      </c>
      <c r="V195" s="174">
        <f t="shared" si="60"/>
        <v>-0.32947232947232963</v>
      </c>
      <c r="X195" s="90">
        <v>1</v>
      </c>
      <c r="Y195" s="90" t="s">
        <v>63</v>
      </c>
      <c r="Z195" s="88" t="s">
        <v>32</v>
      </c>
      <c r="AA195" s="90" t="s">
        <v>48</v>
      </c>
    </row>
    <row r="196" spans="1:27" ht="25.5" customHeight="1" x14ac:dyDescent="0.2">
      <c r="A196" s="90" t="s">
        <v>305</v>
      </c>
      <c r="B196" s="90" t="s">
        <v>60</v>
      </c>
      <c r="C196" s="88">
        <v>2017</v>
      </c>
      <c r="D196" s="152" t="s">
        <v>314</v>
      </c>
      <c r="E196" s="90" t="s">
        <v>315</v>
      </c>
      <c r="F196" s="90">
        <v>2</v>
      </c>
      <c r="G196" s="90">
        <v>5</v>
      </c>
      <c r="H196" s="90"/>
      <c r="I196" s="164">
        <v>1.6</v>
      </c>
      <c r="J196" s="199">
        <v>2.6</v>
      </c>
      <c r="K196" s="90">
        <v>37</v>
      </c>
      <c r="L196" s="89">
        <v>720</v>
      </c>
      <c r="M196" s="89"/>
      <c r="N196" s="164">
        <v>2</v>
      </c>
      <c r="O196" s="199">
        <v>2.2999999999999998</v>
      </c>
      <c r="P196" s="90">
        <v>30</v>
      </c>
      <c r="Q196" s="90"/>
      <c r="R196" s="157">
        <f t="shared" si="57"/>
        <v>0.16296016874534205</v>
      </c>
      <c r="S196" s="90">
        <v>1</v>
      </c>
      <c r="T196" s="174">
        <f t="shared" si="58"/>
        <v>0.16190015178379852</v>
      </c>
      <c r="U196" s="174">
        <f t="shared" si="59"/>
        <v>0.16002486045039546</v>
      </c>
      <c r="V196" s="174">
        <f t="shared" si="60"/>
        <v>0.17189860668121534</v>
      </c>
      <c r="X196" s="90">
        <v>1</v>
      </c>
      <c r="Y196" s="90" t="s">
        <v>63</v>
      </c>
      <c r="Z196" s="88" t="s">
        <v>32</v>
      </c>
      <c r="AA196" s="90" t="s">
        <v>48</v>
      </c>
    </row>
    <row r="197" spans="1:27" ht="25.5" customHeight="1" x14ac:dyDescent="0.2">
      <c r="A197" s="90" t="s">
        <v>305</v>
      </c>
      <c r="B197" s="90" t="s">
        <v>60</v>
      </c>
      <c r="C197" s="88">
        <v>2017</v>
      </c>
      <c r="D197" s="152" t="s">
        <v>316</v>
      </c>
      <c r="E197" s="90" t="s">
        <v>317</v>
      </c>
      <c r="F197" s="90">
        <v>2</v>
      </c>
      <c r="G197" s="90">
        <v>6</v>
      </c>
      <c r="H197" s="90"/>
      <c r="I197" s="164">
        <v>2.4</v>
      </c>
      <c r="J197" s="199">
        <v>2.7</v>
      </c>
      <c r="K197" s="90">
        <v>37</v>
      </c>
      <c r="L197" s="89">
        <v>720</v>
      </c>
      <c r="M197" s="89"/>
      <c r="N197" s="164">
        <v>3.1</v>
      </c>
      <c r="O197" s="199">
        <v>4.4000000000000004</v>
      </c>
      <c r="P197" s="90">
        <v>30</v>
      </c>
      <c r="Q197" s="90"/>
      <c r="R197" s="157">
        <f t="shared" si="57"/>
        <v>0.19176283037764785</v>
      </c>
      <c r="S197" s="90">
        <v>1</v>
      </c>
      <c r="T197" s="174">
        <f t="shared" si="58"/>
        <v>0.19661775735215331</v>
      </c>
      <c r="U197" s="174">
        <f t="shared" si="59"/>
        <v>0.19434033159131756</v>
      </c>
      <c r="V197" s="174">
        <f t="shared" si="60"/>
        <v>0.15724815724815727</v>
      </c>
      <c r="X197" s="90">
        <v>1</v>
      </c>
      <c r="Y197" s="90" t="s">
        <v>63</v>
      </c>
      <c r="Z197" s="88" t="s">
        <v>32</v>
      </c>
      <c r="AA197" s="90" t="s">
        <v>48</v>
      </c>
    </row>
    <row r="198" spans="1:27" ht="25.5" customHeight="1" x14ac:dyDescent="0.2">
      <c r="A198" s="90" t="s">
        <v>305</v>
      </c>
      <c r="B198" s="88" t="s">
        <v>77</v>
      </c>
      <c r="C198" s="88">
        <v>2020</v>
      </c>
      <c r="D198" s="152" t="s">
        <v>312</v>
      </c>
      <c r="E198" s="90" t="s">
        <v>313</v>
      </c>
      <c r="F198" s="88">
        <v>3</v>
      </c>
      <c r="G198" s="90">
        <v>7</v>
      </c>
      <c r="H198" s="90"/>
      <c r="I198" s="163">
        <v>0.8</v>
      </c>
      <c r="J198" s="155">
        <v>0.6</v>
      </c>
      <c r="K198" s="88">
        <v>19</v>
      </c>
      <c r="L198" s="89">
        <v>1042</v>
      </c>
      <c r="M198" s="89"/>
      <c r="N198" s="163">
        <v>0.5</v>
      </c>
      <c r="O198" s="155">
        <v>1.1000000000000001</v>
      </c>
      <c r="P198" s="88">
        <v>19</v>
      </c>
      <c r="R198" s="157">
        <f t="shared" si="57"/>
        <v>-0.33859958878986024</v>
      </c>
      <c r="S198" s="90">
        <v>1</v>
      </c>
      <c r="T198" s="174">
        <f t="shared" si="58"/>
        <v>-0.33859958878986024</v>
      </c>
      <c r="U198" s="174">
        <f t="shared" si="59"/>
        <v>-0.3314961009131499</v>
      </c>
      <c r="V198" s="174">
        <f t="shared" si="60"/>
        <v>-0.26700572155117613</v>
      </c>
      <c r="X198" s="90">
        <v>1</v>
      </c>
      <c r="Y198" s="90" t="s">
        <v>63</v>
      </c>
      <c r="Z198" s="88" t="s">
        <v>44</v>
      </c>
      <c r="AA198" s="90" t="s">
        <v>48</v>
      </c>
    </row>
    <row r="199" spans="1:27" ht="25.5" customHeight="1" x14ac:dyDescent="0.2">
      <c r="A199" s="90" t="s">
        <v>305</v>
      </c>
      <c r="B199" s="88" t="s">
        <v>77</v>
      </c>
      <c r="C199" s="88">
        <v>2020</v>
      </c>
      <c r="D199" s="152" t="s">
        <v>314</v>
      </c>
      <c r="E199" s="90" t="s">
        <v>302</v>
      </c>
      <c r="F199" s="88">
        <v>3</v>
      </c>
      <c r="G199" s="90">
        <v>8</v>
      </c>
      <c r="H199" s="90"/>
      <c r="I199" s="163">
        <v>1.6</v>
      </c>
      <c r="J199" s="155">
        <v>4.7</v>
      </c>
      <c r="K199" s="88">
        <v>19</v>
      </c>
      <c r="L199" s="89">
        <v>1042</v>
      </c>
      <c r="M199" s="89"/>
      <c r="N199" s="163">
        <v>0.6</v>
      </c>
      <c r="O199" s="155">
        <v>1.2</v>
      </c>
      <c r="P199" s="88">
        <v>19</v>
      </c>
      <c r="R199" s="157">
        <f t="shared" si="57"/>
        <v>-0.29154395046566078</v>
      </c>
      <c r="S199" s="90">
        <v>1</v>
      </c>
      <c r="T199" s="174">
        <f t="shared" si="58"/>
        <v>-0.29154395046566078</v>
      </c>
      <c r="U199" s="174">
        <f t="shared" si="59"/>
        <v>-0.28542764381253505</v>
      </c>
      <c r="V199" s="174">
        <f t="shared" si="60"/>
        <v>-0.81585081585081587</v>
      </c>
      <c r="X199" s="90">
        <v>1</v>
      </c>
      <c r="Y199" s="90" t="s">
        <v>63</v>
      </c>
      <c r="Z199" s="88" t="s">
        <v>44</v>
      </c>
      <c r="AA199" s="90" t="s">
        <v>48</v>
      </c>
    </row>
    <row r="200" spans="1:27" ht="25.5" customHeight="1" x14ac:dyDescent="0.2">
      <c r="A200" s="90" t="s">
        <v>305</v>
      </c>
      <c r="B200" s="88" t="s">
        <v>77</v>
      </c>
      <c r="C200" s="88">
        <v>2020</v>
      </c>
      <c r="D200" s="152" t="s">
        <v>316</v>
      </c>
      <c r="E200" s="90" t="s">
        <v>302</v>
      </c>
      <c r="F200" s="88">
        <v>3</v>
      </c>
      <c r="G200" s="90">
        <v>9</v>
      </c>
      <c r="H200" s="90"/>
      <c r="I200" s="163">
        <v>3.2</v>
      </c>
      <c r="J200" s="155">
        <v>4.7</v>
      </c>
      <c r="K200" s="88">
        <v>19</v>
      </c>
      <c r="L200" s="89">
        <v>1042</v>
      </c>
      <c r="M200" s="89"/>
      <c r="N200" s="163">
        <v>2.8</v>
      </c>
      <c r="O200" s="155">
        <v>4.7</v>
      </c>
      <c r="P200" s="88">
        <v>19</v>
      </c>
      <c r="R200" s="157">
        <f t="shared" si="57"/>
        <v>-8.5106382978723472E-2</v>
      </c>
      <c r="S200" s="90">
        <v>1</v>
      </c>
      <c r="T200" s="174">
        <f t="shared" si="58"/>
        <v>-8.5106382978723472E-2</v>
      </c>
      <c r="U200" s="174">
        <f t="shared" si="59"/>
        <v>-8.3320934384764248E-2</v>
      </c>
      <c r="V200" s="174">
        <f t="shared" si="60"/>
        <v>-8.3320934384764248E-2</v>
      </c>
      <c r="X200" s="90">
        <v>1</v>
      </c>
      <c r="Y200" s="90" t="s">
        <v>63</v>
      </c>
      <c r="Z200" s="88" t="s">
        <v>44</v>
      </c>
      <c r="AA200" s="90" t="s">
        <v>48</v>
      </c>
    </row>
    <row r="201" spans="1:27" ht="18.75" customHeight="1" x14ac:dyDescent="0.2">
      <c r="A201" s="90"/>
      <c r="B201" s="90"/>
      <c r="D201" s="152"/>
      <c r="F201" s="173">
        <v>3</v>
      </c>
      <c r="G201" s="173">
        <v>9</v>
      </c>
      <c r="H201" s="90"/>
      <c r="I201" s="164"/>
      <c r="J201" s="155">
        <f>AVERAGE(J192:J200)</f>
        <v>2.911111111111111</v>
      </c>
      <c r="K201" s="173">
        <f>SUM(K192,K194,K198)</f>
        <v>113</v>
      </c>
      <c r="L201" s="347">
        <f>AVERAGE(L200,L194,L193)</f>
        <v>805.66666666666663</v>
      </c>
      <c r="M201" s="347"/>
      <c r="N201" s="164"/>
      <c r="O201" s="155">
        <f>AVERAGE(O192:O200)</f>
        <v>2.8111111111111109</v>
      </c>
      <c r="P201" s="173">
        <f>SUM(P192,P194,P198)</f>
        <v>106</v>
      </c>
      <c r="Q201" s="90"/>
      <c r="R201" s="157"/>
      <c r="S201" s="90"/>
      <c r="T201" s="189">
        <f>AVERAGE(T192:T200)</f>
        <v>-9.4572864098768042E-2</v>
      </c>
      <c r="U201" s="189">
        <f t="shared" ref="U201" si="61">AVERAGE(U192:U200)</f>
        <v>-9.2811895545226231E-2</v>
      </c>
      <c r="V201" s="189">
        <f>AVERAGE(V200,V192:V198)</f>
        <v>-7.6347690779884347E-2</v>
      </c>
      <c r="AA201" s="90"/>
    </row>
    <row r="202" spans="1:27" ht="18.75" customHeight="1" x14ac:dyDescent="0.2">
      <c r="A202" s="90"/>
      <c r="B202" s="90"/>
      <c r="D202" s="152"/>
      <c r="F202" s="90"/>
      <c r="G202" s="90"/>
      <c r="H202" s="90"/>
      <c r="I202" s="164"/>
      <c r="J202" s="199"/>
      <c r="K202" s="90"/>
      <c r="L202" s="89"/>
      <c r="M202" s="89"/>
      <c r="N202" s="164"/>
      <c r="O202" s="199"/>
      <c r="P202" s="90"/>
      <c r="Q202" s="90"/>
      <c r="R202" s="157"/>
      <c r="S202" s="90"/>
      <c r="T202" s="197">
        <f>STDEV(T192:T200)</f>
        <v>0.18625816541806234</v>
      </c>
      <c r="U202" s="197">
        <f t="shared" ref="U202" si="62">STDEV(U192:U200)</f>
        <v>0.18325292924690126</v>
      </c>
      <c r="V202" s="197">
        <f>STDEV(V200,V192:V198)</f>
        <v>0.18061373853543769</v>
      </c>
      <c r="W202" s="88"/>
      <c r="AA202" s="90"/>
    </row>
    <row r="203" spans="1:27" ht="18.75" customHeight="1" x14ac:dyDescent="0.2">
      <c r="A203" s="90" t="s">
        <v>318</v>
      </c>
      <c r="B203" s="90" t="s">
        <v>342</v>
      </c>
      <c r="C203" s="88">
        <v>2018</v>
      </c>
      <c r="D203" s="152" t="s">
        <v>343</v>
      </c>
      <c r="E203" s="90" t="s">
        <v>344</v>
      </c>
      <c r="F203" s="90">
        <v>1</v>
      </c>
      <c r="G203" s="90">
        <v>1</v>
      </c>
      <c r="H203" s="90"/>
      <c r="I203" s="164">
        <v>10.1</v>
      </c>
      <c r="J203" s="199">
        <v>2.14</v>
      </c>
      <c r="K203" s="90">
        <v>46</v>
      </c>
      <c r="L203" s="89">
        <v>594.79999999999995</v>
      </c>
      <c r="M203" s="89"/>
      <c r="N203" s="164">
        <v>8.5399999999999991</v>
      </c>
      <c r="O203" s="199">
        <v>1.91</v>
      </c>
      <c r="P203" s="90">
        <v>31</v>
      </c>
      <c r="Q203" s="90"/>
      <c r="R203" s="157">
        <f t="shared" ref="R203:R217" si="63">(N203-I203)/SQRT((O203^2+J203^2)/2)</f>
        <v>-0.76913109944122449</v>
      </c>
      <c r="S203" s="90">
        <v>1</v>
      </c>
      <c r="T203" s="174">
        <f t="shared" ref="T203:T217" si="64">(N203-I203)/SQRT((((P203-1)*O203^2) + ((K203-1)*J203^2))/(P203+K203-2))*S203</f>
        <v>-0.76056851367157641</v>
      </c>
      <c r="U203" s="174">
        <f t="shared" ref="U203:U217" si="65">T203*(1-(3/(4*(K203+P203-2) -1)))</f>
        <v>-0.75293739146082483</v>
      </c>
      <c r="V203" s="174">
        <f t="shared" ref="V203:V217" si="66">((N203-I203)/O203)*S203 * (1-(3/(4*(K203+P203-2)-1)))</f>
        <v>-0.80855907124971571</v>
      </c>
      <c r="W203" s="343">
        <f>V219-(V220*2.5)</f>
        <v>-2.1539845306070884</v>
      </c>
      <c r="X203" s="90">
        <v>1</v>
      </c>
      <c r="Y203" s="90" t="s">
        <v>63</v>
      </c>
      <c r="Z203" s="88" t="s">
        <v>32</v>
      </c>
      <c r="AA203" s="90" t="s">
        <v>48</v>
      </c>
    </row>
    <row r="204" spans="1:27" ht="18.75" customHeight="1" x14ac:dyDescent="0.2">
      <c r="A204" s="90" t="s">
        <v>318</v>
      </c>
      <c r="B204" s="90" t="s">
        <v>60</v>
      </c>
      <c r="C204" s="88">
        <v>2017</v>
      </c>
      <c r="D204" s="152" t="s">
        <v>345</v>
      </c>
      <c r="E204" s="90" t="s">
        <v>346</v>
      </c>
      <c r="F204" s="90">
        <v>2</v>
      </c>
      <c r="G204" s="90">
        <v>2</v>
      </c>
      <c r="H204" s="90"/>
      <c r="I204" s="164">
        <v>65.099999999999994</v>
      </c>
      <c r="J204" s="199">
        <v>11.7</v>
      </c>
      <c r="K204" s="90">
        <v>37</v>
      </c>
      <c r="L204" s="89">
        <v>720</v>
      </c>
      <c r="M204" s="89"/>
      <c r="N204" s="164">
        <v>59.2</v>
      </c>
      <c r="O204" s="199">
        <v>5.0999999999999996</v>
      </c>
      <c r="P204" s="90">
        <v>30</v>
      </c>
      <c r="Q204" s="90"/>
      <c r="R204" s="157">
        <f t="shared" si="63"/>
        <v>-0.6537421203926238</v>
      </c>
      <c r="S204" s="90">
        <v>1</v>
      </c>
      <c r="T204" s="174">
        <f t="shared" si="64"/>
        <v>-0.63102339972220256</v>
      </c>
      <c r="U204" s="174">
        <f t="shared" si="65"/>
        <v>-0.62371424837406897</v>
      </c>
      <c r="V204" s="174">
        <f t="shared" si="66"/>
        <v>-1.1434627905216124</v>
      </c>
      <c r="X204" s="90">
        <v>1</v>
      </c>
      <c r="Y204" s="90" t="s">
        <v>63</v>
      </c>
      <c r="Z204" s="88" t="s">
        <v>32</v>
      </c>
      <c r="AA204" s="90" t="s">
        <v>48</v>
      </c>
    </row>
    <row r="205" spans="1:27" ht="18.75" customHeight="1" x14ac:dyDescent="0.2">
      <c r="A205" s="90" t="s">
        <v>318</v>
      </c>
      <c r="B205" s="90" t="s">
        <v>319</v>
      </c>
      <c r="C205" s="88">
        <v>1998</v>
      </c>
      <c r="D205" s="152" t="s">
        <v>320</v>
      </c>
      <c r="E205" s="90" t="s">
        <v>321</v>
      </c>
      <c r="F205" s="90">
        <v>3</v>
      </c>
      <c r="G205" s="90">
        <v>3</v>
      </c>
      <c r="H205" s="90"/>
      <c r="I205" s="164">
        <v>452</v>
      </c>
      <c r="J205" s="199">
        <v>72.239999999999995</v>
      </c>
      <c r="K205" s="90">
        <v>57</v>
      </c>
      <c r="L205" s="89">
        <v>1085</v>
      </c>
      <c r="M205" s="89"/>
      <c r="N205" s="164">
        <v>430</v>
      </c>
      <c r="O205" s="199">
        <v>77.48</v>
      </c>
      <c r="P205" s="90">
        <v>40</v>
      </c>
      <c r="Q205" s="90"/>
      <c r="R205" s="157">
        <f t="shared" si="63"/>
        <v>-0.29370208915591428</v>
      </c>
      <c r="S205" s="90">
        <v>-1</v>
      </c>
      <c r="T205" s="174">
        <f t="shared" si="64"/>
        <v>0.29555669090217029</v>
      </c>
      <c r="U205" s="174">
        <f t="shared" si="65"/>
        <v>0.29321719202959373</v>
      </c>
      <c r="V205" s="174">
        <f t="shared" si="66"/>
        <v>0.2816966639105436</v>
      </c>
      <c r="X205" s="90">
        <v>4</v>
      </c>
      <c r="Y205" s="90" t="s">
        <v>81</v>
      </c>
      <c r="Z205" s="88" t="s">
        <v>44</v>
      </c>
      <c r="AA205" s="90" t="s">
        <v>81</v>
      </c>
    </row>
    <row r="206" spans="1:27" ht="18.75" customHeight="1" x14ac:dyDescent="0.2">
      <c r="A206" s="90" t="s">
        <v>318</v>
      </c>
      <c r="B206" s="90" t="s">
        <v>319</v>
      </c>
      <c r="C206" s="88">
        <v>1998</v>
      </c>
      <c r="D206" s="152" t="s">
        <v>322</v>
      </c>
      <c r="E206" s="90" t="s">
        <v>323</v>
      </c>
      <c r="F206" s="90">
        <v>3</v>
      </c>
      <c r="G206" s="90">
        <v>4</v>
      </c>
      <c r="H206" s="90"/>
      <c r="I206" s="164">
        <v>17.2</v>
      </c>
      <c r="J206" s="199">
        <v>6.7</v>
      </c>
      <c r="K206" s="90">
        <v>57</v>
      </c>
      <c r="L206" s="89">
        <v>1085</v>
      </c>
      <c r="M206" s="89"/>
      <c r="N206" s="164">
        <v>13.1</v>
      </c>
      <c r="O206" s="199">
        <v>3.5</v>
      </c>
      <c r="P206" s="90">
        <v>40</v>
      </c>
      <c r="Q206" s="90"/>
      <c r="R206" s="157">
        <f t="shared" si="63"/>
        <v>-0.76705894100189487</v>
      </c>
      <c r="S206" s="90">
        <v>1</v>
      </c>
      <c r="T206" s="174">
        <f t="shared" si="64"/>
        <v>-0.73062515887939938</v>
      </c>
      <c r="U206" s="174">
        <f t="shared" si="65"/>
        <v>-0.72484184627613235</v>
      </c>
      <c r="V206" s="174">
        <f t="shared" si="66"/>
        <v>-1.1621560497549941</v>
      </c>
      <c r="X206" s="90">
        <v>4</v>
      </c>
      <c r="Y206" s="90" t="s">
        <v>81</v>
      </c>
      <c r="Z206" s="88" t="s">
        <v>44</v>
      </c>
      <c r="AA206" s="90" t="s">
        <v>81</v>
      </c>
    </row>
    <row r="207" spans="1:27" ht="18.75" customHeight="1" x14ac:dyDescent="0.2">
      <c r="A207" s="90" t="s">
        <v>318</v>
      </c>
      <c r="B207" s="90" t="s">
        <v>319</v>
      </c>
      <c r="C207" s="88">
        <v>1998</v>
      </c>
      <c r="D207" s="152" t="s">
        <v>324</v>
      </c>
      <c r="E207" s="90" t="s">
        <v>325</v>
      </c>
      <c r="F207" s="90">
        <v>3</v>
      </c>
      <c r="G207" s="90">
        <v>5</v>
      </c>
      <c r="H207" s="90"/>
      <c r="I207" s="164">
        <v>6.5</v>
      </c>
      <c r="J207" s="199">
        <v>3</v>
      </c>
      <c r="K207" s="90">
        <v>57</v>
      </c>
      <c r="L207" s="89">
        <v>1085</v>
      </c>
      <c r="M207" s="89"/>
      <c r="N207" s="164">
        <v>4.9000000000000004</v>
      </c>
      <c r="O207" s="199">
        <v>3.6</v>
      </c>
      <c r="P207" s="90">
        <v>40</v>
      </c>
      <c r="Q207" s="90"/>
      <c r="R207" s="157">
        <f t="shared" si="63"/>
        <v>-0.48285731222676537</v>
      </c>
      <c r="S207" s="90">
        <v>1</v>
      </c>
      <c r="T207" s="174">
        <f t="shared" si="64"/>
        <v>-0.49084178892291869</v>
      </c>
      <c r="U207" s="174">
        <f t="shared" si="65"/>
        <v>-0.48695649771772409</v>
      </c>
      <c r="V207" s="174">
        <f t="shared" si="66"/>
        <v>-0.44092641454119014</v>
      </c>
      <c r="X207" s="90">
        <v>4</v>
      </c>
      <c r="Y207" s="90" t="s">
        <v>81</v>
      </c>
      <c r="Z207" s="88" t="s">
        <v>44</v>
      </c>
      <c r="AA207" s="90" t="s">
        <v>81</v>
      </c>
    </row>
    <row r="208" spans="1:27" ht="18.75" customHeight="1" x14ac:dyDescent="0.2">
      <c r="A208" s="90" t="s">
        <v>318</v>
      </c>
      <c r="B208" s="90" t="s">
        <v>319</v>
      </c>
      <c r="C208" s="88">
        <v>1998</v>
      </c>
      <c r="D208" s="152" t="s">
        <v>326</v>
      </c>
      <c r="E208" s="90" t="s">
        <v>327</v>
      </c>
      <c r="F208" s="90">
        <v>3</v>
      </c>
      <c r="G208" s="90">
        <v>6</v>
      </c>
      <c r="H208" s="90"/>
      <c r="I208" s="164">
        <v>37.9</v>
      </c>
      <c r="J208" s="199">
        <v>15.2</v>
      </c>
      <c r="K208" s="90">
        <v>57</v>
      </c>
      <c r="L208" s="89">
        <v>1085</v>
      </c>
      <c r="M208" s="89"/>
      <c r="N208" s="164">
        <v>26.5</v>
      </c>
      <c r="O208" s="199">
        <v>8.6</v>
      </c>
      <c r="P208" s="90">
        <v>40</v>
      </c>
      <c r="Q208" s="90"/>
      <c r="R208" s="157">
        <f t="shared" si="63"/>
        <v>-0.92314501640396418</v>
      </c>
      <c r="S208" s="90">
        <v>1</v>
      </c>
      <c r="T208" s="174">
        <f t="shared" si="64"/>
        <v>-0.88333742624655998</v>
      </c>
      <c r="U208" s="174">
        <f t="shared" si="65"/>
        <v>-0.87634530941611222</v>
      </c>
      <c r="V208" s="174">
        <f t="shared" si="66"/>
        <v>-1.3150886666257593</v>
      </c>
      <c r="X208" s="90">
        <v>4</v>
      </c>
      <c r="Y208" s="90" t="s">
        <v>81</v>
      </c>
      <c r="Z208" s="88" t="s">
        <v>44</v>
      </c>
      <c r="AA208" s="90" t="s">
        <v>81</v>
      </c>
    </row>
    <row r="209" spans="1:54" ht="18.75" customHeight="1" x14ac:dyDescent="0.2">
      <c r="A209" s="90" t="s">
        <v>318</v>
      </c>
      <c r="B209" s="90" t="s">
        <v>319</v>
      </c>
      <c r="C209" s="88">
        <v>1998</v>
      </c>
      <c r="D209" s="152" t="s">
        <v>328</v>
      </c>
      <c r="E209" s="90" t="s">
        <v>329</v>
      </c>
      <c r="F209" s="90">
        <v>3</v>
      </c>
      <c r="G209" s="90">
        <v>7</v>
      </c>
      <c r="H209" s="90"/>
      <c r="I209" s="164">
        <v>16.600000000000001</v>
      </c>
      <c r="J209" s="199">
        <v>11.8</v>
      </c>
      <c r="K209" s="90">
        <v>57</v>
      </c>
      <c r="L209" s="89">
        <v>1085</v>
      </c>
      <c r="M209" s="89"/>
      <c r="N209" s="164">
        <v>8.5</v>
      </c>
      <c r="O209" s="199">
        <v>6.4</v>
      </c>
      <c r="P209" s="90">
        <v>40</v>
      </c>
      <c r="Q209" s="90"/>
      <c r="R209" s="157">
        <f t="shared" si="63"/>
        <v>-0.85334102151549585</v>
      </c>
      <c r="S209" s="90">
        <v>1</v>
      </c>
      <c r="T209" s="174">
        <f t="shared" si="64"/>
        <v>-0.81451896903924781</v>
      </c>
      <c r="U209" s="174">
        <f t="shared" si="65"/>
        <v>-0.80807158933709022</v>
      </c>
      <c r="V209" s="174">
        <f t="shared" si="66"/>
        <v>-1.2556068601583115</v>
      </c>
      <c r="X209" s="90">
        <v>4</v>
      </c>
      <c r="Y209" s="90" t="s">
        <v>81</v>
      </c>
      <c r="Z209" s="88" t="s">
        <v>44</v>
      </c>
      <c r="AA209" s="90" t="s">
        <v>81</v>
      </c>
    </row>
    <row r="210" spans="1:54" ht="18.75" customHeight="1" x14ac:dyDescent="0.2">
      <c r="A210" s="90" t="s">
        <v>318</v>
      </c>
      <c r="B210" s="90" t="s">
        <v>319</v>
      </c>
      <c r="C210" s="88">
        <v>1998</v>
      </c>
      <c r="D210" s="152" t="s">
        <v>330</v>
      </c>
      <c r="E210" s="90" t="s">
        <v>331</v>
      </c>
      <c r="F210" s="90">
        <v>3</v>
      </c>
      <c r="G210" s="90">
        <v>8</v>
      </c>
      <c r="H210" s="90"/>
      <c r="I210" s="164">
        <v>4.7</v>
      </c>
      <c r="J210" s="199">
        <v>6</v>
      </c>
      <c r="K210" s="90">
        <v>57</v>
      </c>
      <c r="L210" s="89">
        <v>1085</v>
      </c>
      <c r="M210" s="89"/>
      <c r="N210" s="164">
        <v>3.1</v>
      </c>
      <c r="O210" s="199">
        <v>4.7</v>
      </c>
      <c r="P210" s="90">
        <v>40</v>
      </c>
      <c r="Q210" s="90"/>
      <c r="R210" s="157">
        <f t="shared" si="63"/>
        <v>-0.2968822906616716</v>
      </c>
      <c r="S210" s="90">
        <v>1</v>
      </c>
      <c r="T210" s="174">
        <f t="shared" si="64"/>
        <v>-0.29071896546478426</v>
      </c>
      <c r="U210" s="174">
        <f t="shared" si="65"/>
        <v>-0.28841775993340074</v>
      </c>
      <c r="V210" s="174">
        <f t="shared" si="66"/>
        <v>-0.33773087071240104</v>
      </c>
      <c r="X210" s="90">
        <v>4</v>
      </c>
      <c r="Y210" s="90" t="s">
        <v>81</v>
      </c>
      <c r="Z210" s="88" t="s">
        <v>44</v>
      </c>
      <c r="AA210" s="90" t="s">
        <v>81</v>
      </c>
    </row>
    <row r="211" spans="1:54" ht="18.75" customHeight="1" x14ac:dyDescent="0.2">
      <c r="A211" s="90" t="s">
        <v>318</v>
      </c>
      <c r="B211" s="90" t="s">
        <v>319</v>
      </c>
      <c r="C211" s="88">
        <v>1998</v>
      </c>
      <c r="D211" s="152" t="s">
        <v>332</v>
      </c>
      <c r="E211" s="90" t="s">
        <v>333</v>
      </c>
      <c r="F211" s="90">
        <v>3</v>
      </c>
      <c r="G211" s="90">
        <v>9</v>
      </c>
      <c r="H211" s="90"/>
      <c r="I211" s="164">
        <v>3</v>
      </c>
      <c r="J211" s="199">
        <v>4.9000000000000004</v>
      </c>
      <c r="K211" s="90">
        <v>57</v>
      </c>
      <c r="L211" s="89">
        <v>1085</v>
      </c>
      <c r="M211" s="89"/>
      <c r="N211" s="164">
        <v>1.7</v>
      </c>
      <c r="O211" s="199">
        <v>3.5</v>
      </c>
      <c r="P211" s="90">
        <v>40</v>
      </c>
      <c r="Q211" s="90"/>
      <c r="R211" s="157">
        <f t="shared" si="63"/>
        <v>-0.30531240499566353</v>
      </c>
      <c r="S211" s="90">
        <v>1</v>
      </c>
      <c r="T211" s="174">
        <f t="shared" si="64"/>
        <v>-0.29682059119432402</v>
      </c>
      <c r="U211" s="174">
        <f t="shared" si="65"/>
        <v>-0.29447108783394677</v>
      </c>
      <c r="V211" s="174">
        <f t="shared" si="66"/>
        <v>-0.36848850358085189</v>
      </c>
      <c r="X211" s="90">
        <v>4</v>
      </c>
      <c r="Y211" s="90" t="s">
        <v>81</v>
      </c>
      <c r="Z211" s="88" t="s">
        <v>44</v>
      </c>
      <c r="AA211" s="90" t="s">
        <v>81</v>
      </c>
    </row>
    <row r="212" spans="1:54" ht="18.75" customHeight="1" x14ac:dyDescent="0.2">
      <c r="A212" s="90" t="s">
        <v>318</v>
      </c>
      <c r="B212" s="90" t="s">
        <v>319</v>
      </c>
      <c r="C212" s="88">
        <v>1998</v>
      </c>
      <c r="D212" s="152" t="s">
        <v>334</v>
      </c>
      <c r="E212" s="90" t="s">
        <v>335</v>
      </c>
      <c r="F212" s="90">
        <v>3</v>
      </c>
      <c r="G212" s="90">
        <v>10</v>
      </c>
      <c r="H212" s="90"/>
      <c r="I212" s="164">
        <v>19.600000000000001</v>
      </c>
      <c r="J212" s="199">
        <v>10.9</v>
      </c>
      <c r="K212" s="90">
        <v>57</v>
      </c>
      <c r="L212" s="89">
        <v>1085</v>
      </c>
      <c r="M212" s="89"/>
      <c r="N212" s="164">
        <v>15.1</v>
      </c>
      <c r="O212" s="199">
        <v>9.4</v>
      </c>
      <c r="P212" s="90">
        <v>40</v>
      </c>
      <c r="Q212" s="90"/>
      <c r="R212" s="157">
        <f t="shared" si="63"/>
        <v>-0.44214434886732878</v>
      </c>
      <c r="S212" s="90">
        <v>1</v>
      </c>
      <c r="T212" s="174">
        <f t="shared" si="64"/>
        <v>-0.43644199244467241</v>
      </c>
      <c r="U212" s="174">
        <f t="shared" si="65"/>
        <v>-0.43298730648864597</v>
      </c>
      <c r="V212" s="174">
        <f t="shared" si="66"/>
        <v>-0.47493403693931419</v>
      </c>
      <c r="X212" s="90">
        <v>4</v>
      </c>
      <c r="Y212" s="90" t="s">
        <v>81</v>
      </c>
      <c r="Z212" s="88" t="s">
        <v>44</v>
      </c>
      <c r="AA212" s="90" t="s">
        <v>81</v>
      </c>
    </row>
    <row r="213" spans="1:54" ht="18.75" customHeight="1" x14ac:dyDescent="0.2">
      <c r="A213" s="90" t="s">
        <v>318</v>
      </c>
      <c r="B213" s="90" t="s">
        <v>319</v>
      </c>
      <c r="C213" s="88">
        <v>1998</v>
      </c>
      <c r="D213" s="152" t="s">
        <v>336</v>
      </c>
      <c r="E213" s="90" t="s">
        <v>337</v>
      </c>
      <c r="F213" s="90">
        <v>3</v>
      </c>
      <c r="G213" s="90">
        <v>11</v>
      </c>
      <c r="H213" s="90"/>
      <c r="I213" s="164">
        <v>14.4</v>
      </c>
      <c r="J213" s="199">
        <v>11.8</v>
      </c>
      <c r="K213" s="90">
        <v>57</v>
      </c>
      <c r="L213" s="89">
        <v>1085</v>
      </c>
      <c r="M213" s="89"/>
      <c r="N213" s="164">
        <v>10.7</v>
      </c>
      <c r="O213" s="199">
        <v>8.6</v>
      </c>
      <c r="P213" s="90">
        <v>40</v>
      </c>
      <c r="Q213" s="90"/>
      <c r="R213" s="157">
        <f t="shared" si="63"/>
        <v>-0.35836296545455271</v>
      </c>
      <c r="S213" s="90">
        <v>1</v>
      </c>
      <c r="T213" s="174">
        <f t="shared" si="64"/>
        <v>-0.34893109980148973</v>
      </c>
      <c r="U213" s="174">
        <f t="shared" si="65"/>
        <v>-0.34616911220411645</v>
      </c>
      <c r="V213" s="174">
        <f t="shared" si="66"/>
        <v>-0.42682702337853606</v>
      </c>
      <c r="X213" s="90">
        <v>4</v>
      </c>
      <c r="Y213" s="90" t="s">
        <v>81</v>
      </c>
      <c r="Z213" s="88" t="s">
        <v>44</v>
      </c>
      <c r="AA213" s="90" t="s">
        <v>81</v>
      </c>
    </row>
    <row r="214" spans="1:54" ht="18.75" customHeight="1" x14ac:dyDescent="0.2">
      <c r="A214" s="90" t="s">
        <v>318</v>
      </c>
      <c r="B214" s="90" t="s">
        <v>319</v>
      </c>
      <c r="C214" s="88">
        <v>1998</v>
      </c>
      <c r="D214" s="152" t="s">
        <v>338</v>
      </c>
      <c r="E214" s="90" t="s">
        <v>339</v>
      </c>
      <c r="F214" s="90">
        <v>3</v>
      </c>
      <c r="G214" s="90">
        <v>12</v>
      </c>
      <c r="H214" s="90"/>
      <c r="I214" s="164">
        <v>35</v>
      </c>
      <c r="J214" s="199">
        <v>12</v>
      </c>
      <c r="K214" s="90">
        <v>57</v>
      </c>
      <c r="L214" s="89">
        <v>1085</v>
      </c>
      <c r="M214" s="89"/>
      <c r="N214" s="164">
        <v>33</v>
      </c>
      <c r="O214" s="199">
        <v>12</v>
      </c>
      <c r="P214" s="90">
        <v>40</v>
      </c>
      <c r="Q214" s="90"/>
      <c r="R214" s="157">
        <f t="shared" si="63"/>
        <v>-0.16666666666666666</v>
      </c>
      <c r="S214" s="90">
        <v>1</v>
      </c>
      <c r="T214" s="174">
        <f t="shared" si="64"/>
        <v>-0.16666666666666666</v>
      </c>
      <c r="U214" s="174">
        <f t="shared" si="65"/>
        <v>-0.16534740545294635</v>
      </c>
      <c r="V214" s="174">
        <f t="shared" si="66"/>
        <v>-0.16534740545294635</v>
      </c>
      <c r="X214" s="90">
        <v>4</v>
      </c>
      <c r="Y214" s="90" t="s">
        <v>81</v>
      </c>
      <c r="Z214" s="88" t="s">
        <v>44</v>
      </c>
      <c r="AA214" s="90" t="s">
        <v>81</v>
      </c>
    </row>
    <row r="215" spans="1:54" ht="18.75" customHeight="1" x14ac:dyDescent="0.2">
      <c r="A215" s="90" t="s">
        <v>318</v>
      </c>
      <c r="B215" s="90" t="s">
        <v>319</v>
      </c>
      <c r="C215" s="88">
        <v>1998</v>
      </c>
      <c r="D215" s="152" t="s">
        <v>340</v>
      </c>
      <c r="E215" s="90" t="s">
        <v>341</v>
      </c>
      <c r="F215" s="90">
        <v>3</v>
      </c>
      <c r="G215" s="90">
        <v>13</v>
      </c>
      <c r="H215" s="90"/>
      <c r="I215" s="164">
        <v>101</v>
      </c>
      <c r="J215" s="199">
        <v>52</v>
      </c>
      <c r="K215" s="90">
        <v>57</v>
      </c>
      <c r="L215" s="89">
        <v>1085</v>
      </c>
      <c r="M215" s="89"/>
      <c r="N215" s="164">
        <v>89</v>
      </c>
      <c r="O215" s="199">
        <v>58</v>
      </c>
      <c r="P215" s="90">
        <v>40</v>
      </c>
      <c r="Q215" s="90"/>
      <c r="R215" s="157">
        <f t="shared" si="63"/>
        <v>-0.21785797263947917</v>
      </c>
      <c r="S215" s="90">
        <v>1</v>
      </c>
      <c r="T215" s="174">
        <f t="shared" si="64"/>
        <v>-0.2200095854217419</v>
      </c>
      <c r="U215" s="174">
        <f t="shared" si="65"/>
        <v>-0.21826808474558035</v>
      </c>
      <c r="V215" s="174">
        <f t="shared" si="66"/>
        <v>-0.20525884814848513</v>
      </c>
      <c r="X215" s="90">
        <v>4</v>
      </c>
      <c r="Y215" s="90" t="s">
        <v>81</v>
      </c>
      <c r="Z215" s="88" t="s">
        <v>44</v>
      </c>
      <c r="AA215" s="90" t="s">
        <v>81</v>
      </c>
    </row>
    <row r="216" spans="1:54" ht="18.75" customHeight="1" x14ac:dyDescent="0.2">
      <c r="A216" s="90" t="s">
        <v>318</v>
      </c>
      <c r="B216" s="90" t="s">
        <v>518</v>
      </c>
      <c r="C216" s="88">
        <v>2021</v>
      </c>
      <c r="D216" s="152" t="s">
        <v>603</v>
      </c>
      <c r="F216" s="88">
        <v>4</v>
      </c>
      <c r="G216" s="90">
        <v>14</v>
      </c>
      <c r="H216" s="90"/>
      <c r="I216" s="163">
        <v>29</v>
      </c>
      <c r="J216" s="155">
        <v>13.62</v>
      </c>
      <c r="K216" s="88">
        <v>19</v>
      </c>
      <c r="L216" s="89">
        <v>890</v>
      </c>
      <c r="M216" s="89"/>
      <c r="N216" s="163">
        <v>20</v>
      </c>
      <c r="O216" s="155">
        <v>5.5</v>
      </c>
      <c r="P216" s="88">
        <v>25</v>
      </c>
      <c r="R216" s="157">
        <f t="shared" si="63"/>
        <v>-0.86651817552863086</v>
      </c>
      <c r="S216" s="90">
        <v>1</v>
      </c>
      <c r="T216" s="174">
        <f t="shared" si="64"/>
        <v>-0.91481367701901328</v>
      </c>
      <c r="U216" s="174">
        <f t="shared" si="65"/>
        <v>-0.89837989838992915</v>
      </c>
      <c r="V216" s="174">
        <f t="shared" si="66"/>
        <v>-1.6069678824169842</v>
      </c>
      <c r="X216" s="90">
        <v>1</v>
      </c>
      <c r="Z216" s="88" t="s">
        <v>32</v>
      </c>
      <c r="AA216" s="90"/>
    </row>
    <row r="217" spans="1:54" ht="18.75" customHeight="1" x14ac:dyDescent="0.2">
      <c r="A217" s="90" t="s">
        <v>318</v>
      </c>
      <c r="B217" s="88" t="s">
        <v>77</v>
      </c>
      <c r="C217" s="88">
        <v>2020</v>
      </c>
      <c r="D217" s="152" t="s">
        <v>345</v>
      </c>
      <c r="E217" s="90" t="s">
        <v>346</v>
      </c>
      <c r="F217" s="88">
        <v>5</v>
      </c>
      <c r="G217" s="90">
        <v>15</v>
      </c>
      <c r="H217" s="90"/>
      <c r="I217" s="163">
        <v>76.7</v>
      </c>
      <c r="J217" s="155">
        <v>11</v>
      </c>
      <c r="K217" s="88">
        <v>19</v>
      </c>
      <c r="L217" s="89">
        <v>1042</v>
      </c>
      <c r="M217" s="89"/>
      <c r="N217" s="163">
        <v>70.599999999999994</v>
      </c>
      <c r="O217" s="155">
        <v>9</v>
      </c>
      <c r="P217" s="88">
        <v>19</v>
      </c>
      <c r="R217" s="157">
        <f t="shared" si="63"/>
        <v>-0.60697268602809429</v>
      </c>
      <c r="S217" s="90">
        <v>-1</v>
      </c>
      <c r="T217" s="174">
        <f t="shared" si="64"/>
        <v>0.60697268602809429</v>
      </c>
      <c r="U217" s="174">
        <f t="shared" si="65"/>
        <v>0.59423899331421826</v>
      </c>
      <c r="V217" s="174">
        <f t="shared" si="66"/>
        <v>0.66355866355866444</v>
      </c>
      <c r="AA217" s="90"/>
    </row>
    <row r="218" spans="1:54" ht="18.75" customHeight="1" x14ac:dyDescent="0.2">
      <c r="A218" s="90" t="s">
        <v>318</v>
      </c>
      <c r="B218" s="90" t="s">
        <v>82</v>
      </c>
      <c r="C218" s="88">
        <v>2013</v>
      </c>
      <c r="D218" s="152" t="s">
        <v>83</v>
      </c>
      <c r="E218" s="174" t="s">
        <v>84</v>
      </c>
      <c r="F218" s="153">
        <v>6</v>
      </c>
      <c r="G218" s="90">
        <v>16</v>
      </c>
      <c r="H218" s="90"/>
      <c r="I218" s="163">
        <v>93.2</v>
      </c>
      <c r="J218" s="155">
        <v>63.6</v>
      </c>
      <c r="K218" s="88">
        <v>57</v>
      </c>
      <c r="L218" s="175">
        <f>(845.7+774.9)/2</f>
        <v>810.3</v>
      </c>
      <c r="M218" s="175"/>
      <c r="N218" s="163">
        <v>77</v>
      </c>
      <c r="O218" s="155">
        <v>19.7</v>
      </c>
      <c r="P218" s="88">
        <v>46</v>
      </c>
      <c r="Q218" s="90"/>
      <c r="R218" s="157">
        <f>(N218-I218)/SQRT((O218^2+J218^2)/2)</f>
        <v>-0.34409526584782579</v>
      </c>
      <c r="S218" s="90">
        <v>1</v>
      </c>
      <c r="T218" s="174">
        <f>(N218-I218)/SQRT((((P218-1)*O218^2) + ((K218-1)*J218^2))/(P218+K218-2))*S218</f>
        <v>-0.32960741787904857</v>
      </c>
      <c r="U218" s="174">
        <f>T218*(1-(3/(4*(K218+P218-2) -1)))</f>
        <v>-0.32715376464421697</v>
      </c>
      <c r="V218" s="174">
        <f>((N218-I218)/O218)*S218 * (1-(3/(4*(K218+P218-2)-1)))</f>
        <v>-0.81621342469549463</v>
      </c>
      <c r="X218" s="90">
        <v>3</v>
      </c>
      <c r="Y218" s="90" t="s">
        <v>85</v>
      </c>
      <c r="Z218" s="88" t="s">
        <v>32</v>
      </c>
      <c r="AA218" s="90" t="s">
        <v>85</v>
      </c>
      <c r="AK218" s="88">
        <v>74</v>
      </c>
      <c r="AL218" s="88">
        <v>18</v>
      </c>
      <c r="AM218" s="88">
        <v>46</v>
      </c>
      <c r="BA218" s="88" t="s">
        <v>82</v>
      </c>
      <c r="BB218" s="88">
        <v>17</v>
      </c>
    </row>
    <row r="219" spans="1:54" ht="18.75" customHeight="1" x14ac:dyDescent="0.2">
      <c r="D219" s="88"/>
      <c r="F219" s="173">
        <v>6</v>
      </c>
      <c r="G219" s="173">
        <v>16</v>
      </c>
      <c r="H219" s="90"/>
      <c r="I219" s="163"/>
      <c r="J219" s="155">
        <f>AVERAGE(J203:J217)</f>
        <v>16.333333333333336</v>
      </c>
      <c r="K219" s="347">
        <f>SUM(K203,K204,K205,K216,K217)</f>
        <v>178</v>
      </c>
      <c r="L219" s="347">
        <f>AVERAGE(L203,L204,L205,L216,L217)</f>
        <v>866.36</v>
      </c>
      <c r="M219" s="347"/>
      <c r="N219" s="164"/>
      <c r="O219" s="155">
        <f>AVERAGE(O203:O217)</f>
        <v>14.486000000000001</v>
      </c>
      <c r="P219" s="173">
        <f>SUM(P203,P204,P205,P216,P217)</f>
        <v>145</v>
      </c>
      <c r="R219" s="157"/>
      <c r="S219" s="90"/>
      <c r="T219" s="189">
        <f>AVERAGE(T203:T217)</f>
        <v>-0.40551923050428884</v>
      </c>
      <c r="U219" s="189">
        <f>AVERAGE(U203:U217)</f>
        <v>-0.4019634234857804</v>
      </c>
      <c r="V219" s="189">
        <f>AVERAGE(V203:V217)</f>
        <v>-0.58440660640079289</v>
      </c>
      <c r="AA219" s="90"/>
    </row>
    <row r="220" spans="1:54" ht="18.75" customHeight="1" x14ac:dyDescent="0.2">
      <c r="A220" s="90"/>
      <c r="B220" s="90"/>
      <c r="F220" s="90"/>
      <c r="G220" s="90"/>
      <c r="H220" s="90"/>
      <c r="I220" s="164"/>
      <c r="J220" s="199"/>
      <c r="K220" s="90"/>
      <c r="L220" s="89"/>
      <c r="M220" s="89"/>
      <c r="N220" s="164"/>
      <c r="O220" s="199"/>
      <c r="P220" s="90"/>
      <c r="Q220" s="90"/>
      <c r="R220" s="157"/>
      <c r="S220" s="90"/>
      <c r="T220" s="197">
        <f>STDEV(T203:T217)</f>
        <v>0.42946165703454842</v>
      </c>
      <c r="U220" s="197">
        <f>STDEV(U203:U217)</f>
        <v>0.42377309907935162</v>
      </c>
      <c r="V220" s="197">
        <f>STDEV(V203:V217)</f>
        <v>0.62783116968251829</v>
      </c>
      <c r="AA220" s="90"/>
    </row>
    <row r="221" spans="1:54" ht="18.75" customHeight="1" x14ac:dyDescent="0.2">
      <c r="A221" s="90" t="s">
        <v>672</v>
      </c>
      <c r="B221" s="90" t="s">
        <v>127</v>
      </c>
      <c r="C221" s="88">
        <v>2018</v>
      </c>
      <c r="D221" s="152" t="s">
        <v>348</v>
      </c>
      <c r="E221" s="90" t="s">
        <v>349</v>
      </c>
      <c r="F221" s="90">
        <v>1</v>
      </c>
      <c r="G221" s="90">
        <v>1</v>
      </c>
      <c r="H221" s="90"/>
      <c r="I221" s="163">
        <v>704.5</v>
      </c>
      <c r="J221" s="155">
        <v>147.30000000000001</v>
      </c>
      <c r="K221" s="88">
        <v>15</v>
      </c>
      <c r="L221" s="89">
        <v>751.2</v>
      </c>
      <c r="M221" s="89"/>
      <c r="N221" s="163">
        <v>679</v>
      </c>
      <c r="O221" s="155">
        <v>143.1</v>
      </c>
      <c r="P221" s="88">
        <v>24</v>
      </c>
      <c r="R221" s="157">
        <f t="shared" ref="R221:R227" si="67">(N221-I221)/SQRT((O221^2+J221^2)/2)</f>
        <v>-0.17560147013923155</v>
      </c>
      <c r="S221" s="90">
        <v>1</v>
      </c>
      <c r="T221" s="174">
        <f t="shared" ref="T221:T227" si="68">(N221-I221)/SQRT((((P221-1)*O221^2) + ((K221-1)*J221^2))/(P221+K221-2))*S221</f>
        <v>-0.17622238131814019</v>
      </c>
      <c r="U221" s="174">
        <f t="shared" ref="U221:U227" si="69">T221*(1-(3/(4*(K221+P221-2) -1)))</f>
        <v>-0.17262600618919854</v>
      </c>
      <c r="V221" s="174">
        <f t="shared" ref="V221:V227" si="70">((N221-I221)/O221)*S221 * (1-(3/(4*(K221+P221-2)-1)))</f>
        <v>-0.17456039019381336</v>
      </c>
      <c r="W221" s="343">
        <f>V228-(V229*2.5)</f>
        <v>-2.2812591555047304</v>
      </c>
      <c r="X221" s="90">
        <v>1</v>
      </c>
      <c r="Y221" s="90" t="s">
        <v>63</v>
      </c>
      <c r="Z221" s="88" t="s">
        <v>32</v>
      </c>
      <c r="AA221" s="90" t="s">
        <v>48</v>
      </c>
    </row>
    <row r="222" spans="1:54" ht="18.75" customHeight="1" x14ac:dyDescent="0.2">
      <c r="A222" s="90" t="s">
        <v>672</v>
      </c>
      <c r="B222" s="90" t="s">
        <v>60</v>
      </c>
      <c r="C222" s="88">
        <v>2017</v>
      </c>
      <c r="D222" s="152" t="s">
        <v>350</v>
      </c>
      <c r="E222" s="90" t="s">
        <v>351</v>
      </c>
      <c r="F222" s="90">
        <v>1</v>
      </c>
      <c r="G222" s="90">
        <v>2</v>
      </c>
      <c r="H222" s="90"/>
      <c r="I222" s="163">
        <v>897</v>
      </c>
      <c r="J222" s="155">
        <v>138.9</v>
      </c>
      <c r="K222" s="88">
        <v>37</v>
      </c>
      <c r="L222" s="89">
        <v>720</v>
      </c>
      <c r="M222" s="89"/>
      <c r="N222" s="163">
        <v>835</v>
      </c>
      <c r="O222" s="155">
        <v>175.1</v>
      </c>
      <c r="P222" s="88">
        <v>30</v>
      </c>
      <c r="R222" s="157">
        <f t="shared" si="67"/>
        <v>-0.39230599355025614</v>
      </c>
      <c r="S222" s="90">
        <v>1</v>
      </c>
      <c r="T222" s="174">
        <f t="shared" si="68"/>
        <v>-0.39720296204612926</v>
      </c>
      <c r="U222" s="174">
        <f t="shared" si="69"/>
        <v>-0.39260215553594247</v>
      </c>
      <c r="V222" s="174">
        <f t="shared" si="70"/>
        <v>-0.3499820290225773</v>
      </c>
      <c r="X222" s="90">
        <v>1</v>
      </c>
      <c r="Y222" s="90" t="s">
        <v>63</v>
      </c>
      <c r="Z222" s="88" t="s">
        <v>32</v>
      </c>
      <c r="AA222" s="90" t="s">
        <v>48</v>
      </c>
    </row>
    <row r="223" spans="1:54" ht="18.75" customHeight="1" x14ac:dyDescent="0.2">
      <c r="A223" s="90" t="s">
        <v>672</v>
      </c>
      <c r="B223" s="90" t="s">
        <v>60</v>
      </c>
      <c r="C223" s="88">
        <v>2017</v>
      </c>
      <c r="D223" s="152" t="s">
        <v>352</v>
      </c>
      <c r="E223" s="90" t="s">
        <v>353</v>
      </c>
      <c r="F223" s="90">
        <v>1</v>
      </c>
      <c r="G223" s="90">
        <v>3</v>
      </c>
      <c r="H223" s="90"/>
      <c r="I223" s="163">
        <v>731</v>
      </c>
      <c r="J223" s="155">
        <v>141.80000000000001</v>
      </c>
      <c r="K223" s="88">
        <v>37</v>
      </c>
      <c r="L223" s="89">
        <v>720</v>
      </c>
      <c r="M223" s="89"/>
      <c r="N223" s="163">
        <v>617</v>
      </c>
      <c r="O223" s="155">
        <v>98.2</v>
      </c>
      <c r="P223" s="88">
        <v>30</v>
      </c>
      <c r="R223" s="157">
        <f t="shared" si="67"/>
        <v>-0.9347013299102096</v>
      </c>
      <c r="S223" s="90">
        <v>1</v>
      </c>
      <c r="T223" s="174">
        <f t="shared" si="68"/>
        <v>-0.91748649844483676</v>
      </c>
      <c r="U223" s="174">
        <f t="shared" si="69"/>
        <v>-0.90685924170609356</v>
      </c>
      <c r="V223" s="174">
        <f t="shared" si="70"/>
        <v>-1.1474494570217584</v>
      </c>
      <c r="X223" s="90">
        <v>1</v>
      </c>
      <c r="Y223" s="90" t="s">
        <v>63</v>
      </c>
      <c r="Z223" s="88" t="s">
        <v>32</v>
      </c>
      <c r="AA223" s="90" t="s">
        <v>48</v>
      </c>
    </row>
    <row r="224" spans="1:54" ht="18.75" customHeight="1" x14ac:dyDescent="0.2">
      <c r="A224" s="90" t="s">
        <v>672</v>
      </c>
      <c r="B224" s="90" t="s">
        <v>60</v>
      </c>
      <c r="C224" s="88">
        <v>2017</v>
      </c>
      <c r="D224" s="152" t="s">
        <v>354</v>
      </c>
      <c r="E224" s="90" t="s">
        <v>355</v>
      </c>
      <c r="F224" s="90">
        <v>1</v>
      </c>
      <c r="G224" s="90">
        <v>4</v>
      </c>
      <c r="H224" s="90"/>
      <c r="I224" s="163">
        <v>574</v>
      </c>
      <c r="J224" s="155">
        <v>120</v>
      </c>
      <c r="K224" s="88">
        <v>37</v>
      </c>
      <c r="L224" s="89">
        <v>720</v>
      </c>
      <c r="M224" s="89"/>
      <c r="N224" s="163">
        <v>507</v>
      </c>
      <c r="O224" s="155">
        <v>93.3</v>
      </c>
      <c r="P224" s="88">
        <v>30</v>
      </c>
      <c r="R224" s="157">
        <f t="shared" si="67"/>
        <v>-0.62335844560987985</v>
      </c>
      <c r="S224" s="90">
        <v>1</v>
      </c>
      <c r="T224" s="174">
        <f t="shared" si="68"/>
        <v>-0.61524607216505411</v>
      </c>
      <c r="U224" s="174">
        <f t="shared" si="69"/>
        <v>-0.60811966978476395</v>
      </c>
      <c r="V224" s="174">
        <f t="shared" si="70"/>
        <v>-0.70979569371852336</v>
      </c>
      <c r="X224" s="90">
        <v>1</v>
      </c>
      <c r="Y224" s="90" t="s">
        <v>63</v>
      </c>
      <c r="Z224" s="88" t="s">
        <v>32</v>
      </c>
      <c r="AA224" s="90" t="s">
        <v>48</v>
      </c>
    </row>
    <row r="225" spans="1:27" ht="18.75" customHeight="1" x14ac:dyDescent="0.2">
      <c r="A225" s="90" t="s">
        <v>672</v>
      </c>
      <c r="B225" s="90" t="s">
        <v>60</v>
      </c>
      <c r="C225" s="88">
        <v>2017</v>
      </c>
      <c r="D225" s="152" t="s">
        <v>356</v>
      </c>
      <c r="E225" s="90" t="s">
        <v>357</v>
      </c>
      <c r="F225" s="90">
        <v>1</v>
      </c>
      <c r="G225" s="90">
        <v>5</v>
      </c>
      <c r="H225" s="90"/>
      <c r="I225" s="163">
        <v>795</v>
      </c>
      <c r="J225" s="155">
        <v>296.7</v>
      </c>
      <c r="K225" s="88">
        <v>37</v>
      </c>
      <c r="L225" s="89">
        <v>720</v>
      </c>
      <c r="M225" s="89"/>
      <c r="N225" s="163">
        <v>604</v>
      </c>
      <c r="O225" s="155">
        <v>103.6</v>
      </c>
      <c r="P225" s="88">
        <v>30</v>
      </c>
      <c r="R225" s="157">
        <f t="shared" si="67"/>
        <v>-0.85950688414051912</v>
      </c>
      <c r="S225" s="90">
        <v>1</v>
      </c>
      <c r="T225" s="174">
        <f t="shared" si="68"/>
        <v>-0.82542471718316868</v>
      </c>
      <c r="U225" s="174">
        <f t="shared" si="69"/>
        <v>-0.81586381312313194</v>
      </c>
      <c r="V225" s="174">
        <f t="shared" si="70"/>
        <v>-1.8222745635873052</v>
      </c>
      <c r="X225" s="90">
        <v>1</v>
      </c>
      <c r="Y225" s="90" t="s">
        <v>63</v>
      </c>
      <c r="Z225" s="88" t="s">
        <v>32</v>
      </c>
      <c r="AA225" s="90" t="s">
        <v>48</v>
      </c>
    </row>
    <row r="226" spans="1:27" ht="18.75" customHeight="1" x14ac:dyDescent="0.2">
      <c r="A226" s="90" t="s">
        <v>672</v>
      </c>
      <c r="B226" s="90" t="s">
        <v>106</v>
      </c>
      <c r="C226" s="88">
        <v>2011</v>
      </c>
      <c r="D226" s="152" t="s">
        <v>358</v>
      </c>
      <c r="E226" s="90" t="s">
        <v>359</v>
      </c>
      <c r="F226" s="90">
        <v>2</v>
      </c>
      <c r="G226" s="90">
        <v>6</v>
      </c>
      <c r="H226" s="90"/>
      <c r="I226" s="163">
        <v>879.9</v>
      </c>
      <c r="J226" s="155">
        <v>120.7</v>
      </c>
      <c r="K226" s="88">
        <v>9</v>
      </c>
      <c r="L226" s="89">
        <v>1140</v>
      </c>
      <c r="M226" s="89"/>
      <c r="N226" s="163">
        <v>889</v>
      </c>
      <c r="O226" s="155">
        <v>154.1</v>
      </c>
      <c r="P226" s="88">
        <v>15</v>
      </c>
      <c r="R226" s="157">
        <f t="shared" si="67"/>
        <v>6.5746142240099809E-2</v>
      </c>
      <c r="S226" s="90">
        <v>1</v>
      </c>
      <c r="T226" s="174">
        <f t="shared" si="68"/>
        <v>6.369832107915141E-2</v>
      </c>
      <c r="U226" s="174">
        <f t="shared" si="69"/>
        <v>6.150182724883585E-2</v>
      </c>
      <c r="V226" s="174">
        <f t="shared" si="70"/>
        <v>5.7016267985410429E-2</v>
      </c>
      <c r="X226" s="90">
        <v>1</v>
      </c>
      <c r="Y226" s="90" t="s">
        <v>63</v>
      </c>
      <c r="Z226" s="90" t="s">
        <v>109</v>
      </c>
      <c r="AA226" s="90" t="s">
        <v>48</v>
      </c>
    </row>
    <row r="227" spans="1:27" ht="18.75" customHeight="1" x14ac:dyDescent="0.2">
      <c r="A227" s="90" t="s">
        <v>672</v>
      </c>
      <c r="B227" s="90" t="s">
        <v>110</v>
      </c>
      <c r="C227" s="88">
        <v>2011</v>
      </c>
      <c r="D227" s="152" t="s">
        <v>358</v>
      </c>
      <c r="E227" s="90" t="s">
        <v>360</v>
      </c>
      <c r="F227" s="90">
        <v>3</v>
      </c>
      <c r="G227" s="90">
        <v>7</v>
      </c>
      <c r="H227" s="90"/>
      <c r="I227" s="163">
        <v>863.3</v>
      </c>
      <c r="J227" s="155">
        <v>175.1</v>
      </c>
      <c r="K227" s="88">
        <v>8</v>
      </c>
      <c r="L227" s="89">
        <v>1210</v>
      </c>
      <c r="M227" s="89"/>
      <c r="N227" s="163">
        <v>838.1</v>
      </c>
      <c r="O227" s="155">
        <v>135.5</v>
      </c>
      <c r="P227" s="88">
        <v>15</v>
      </c>
      <c r="R227" s="157">
        <f t="shared" si="67"/>
        <v>-0.16096362105408038</v>
      </c>
      <c r="S227" s="90">
        <v>1</v>
      </c>
      <c r="T227" s="174">
        <f t="shared" si="68"/>
        <v>-0.16814889638061556</v>
      </c>
      <c r="U227" s="174">
        <f t="shared" si="69"/>
        <v>-0.16207122542709934</v>
      </c>
      <c r="V227" s="174">
        <f t="shared" si="70"/>
        <v>-0.17925576846129859</v>
      </c>
      <c r="X227" s="90">
        <v>1</v>
      </c>
      <c r="Y227" s="90" t="s">
        <v>63</v>
      </c>
      <c r="Z227" s="90" t="s">
        <v>109</v>
      </c>
      <c r="AA227" s="90" t="s">
        <v>48</v>
      </c>
    </row>
    <row r="228" spans="1:27" ht="18.75" customHeight="1" x14ac:dyDescent="0.2">
      <c r="A228" s="90"/>
      <c r="B228" s="90"/>
      <c r="D228" s="221"/>
      <c r="F228" s="173">
        <v>3</v>
      </c>
      <c r="G228" s="173">
        <v>7</v>
      </c>
      <c r="H228" s="90"/>
      <c r="I228" s="163"/>
      <c r="J228" s="155">
        <f>AVERAGE(J221:J227)</f>
        <v>162.92857142857142</v>
      </c>
      <c r="K228" s="337">
        <f>SUM(K221,K223,K226,K227)</f>
        <v>69</v>
      </c>
      <c r="L228" s="338">
        <f>AVERAGE(L221,L223,L226,L227)</f>
        <v>955.3</v>
      </c>
      <c r="M228" s="89"/>
      <c r="N228" s="163"/>
      <c r="O228" s="155">
        <f>AVERAGE(O221:O227)</f>
        <v>128.98571428571429</v>
      </c>
      <c r="P228" s="337">
        <f>SUM(P221,P223,P226,P227)</f>
        <v>84</v>
      </c>
      <c r="R228" s="157"/>
      <c r="S228" s="90"/>
      <c r="T228" s="189">
        <f>AVERAGE(T221:T227)</f>
        <v>-0.43371902949411328</v>
      </c>
      <c r="U228" s="189">
        <f t="shared" ref="U228:V228" si="71">AVERAGE(U221:U227)</f>
        <v>-0.42809146921677049</v>
      </c>
      <c r="V228" s="189">
        <f t="shared" si="71"/>
        <v>-0.61804309057426643</v>
      </c>
      <c r="Z228" s="90"/>
      <c r="AA228" s="90"/>
    </row>
    <row r="229" spans="1:27" ht="18.75" customHeight="1" x14ac:dyDescent="0.2">
      <c r="A229" s="90"/>
      <c r="B229" s="90"/>
      <c r="D229" s="221"/>
      <c r="F229" s="90"/>
      <c r="G229" s="90"/>
      <c r="H229" s="90"/>
      <c r="I229" s="163"/>
      <c r="J229" s="155"/>
      <c r="K229" s="337"/>
      <c r="L229" s="89"/>
      <c r="M229" s="89"/>
      <c r="N229" s="163"/>
      <c r="O229" s="155"/>
      <c r="P229" s="337"/>
      <c r="R229" s="157"/>
      <c r="S229" s="90"/>
      <c r="T229" s="197">
        <f t="shared" ref="T229:V229" si="72">STDEV(T221:T227)</f>
        <v>0.36651644807583927</v>
      </c>
      <c r="U229" s="197">
        <f t="shared" si="72"/>
        <v>0.36262620421681585</v>
      </c>
      <c r="V229" s="197">
        <f t="shared" si="72"/>
        <v>0.66528642597218568</v>
      </c>
      <c r="Z229" s="90"/>
      <c r="AA229" s="90"/>
    </row>
    <row r="230" spans="1:27" ht="18.75" customHeight="1" x14ac:dyDescent="0.2">
      <c r="A230" s="90" t="s">
        <v>673</v>
      </c>
      <c r="B230" s="90" t="s">
        <v>127</v>
      </c>
      <c r="C230" s="88">
        <v>2018</v>
      </c>
      <c r="D230" s="152" t="s">
        <v>361</v>
      </c>
      <c r="E230" s="90" t="s">
        <v>362</v>
      </c>
      <c r="F230" s="90">
        <v>1</v>
      </c>
      <c r="G230" s="90">
        <v>1</v>
      </c>
      <c r="H230" s="90"/>
      <c r="I230" s="163">
        <v>0.4</v>
      </c>
      <c r="J230" s="155">
        <v>2</v>
      </c>
      <c r="K230" s="88">
        <v>15</v>
      </c>
      <c r="L230" s="89">
        <v>751.2</v>
      </c>
      <c r="M230" s="89"/>
      <c r="N230" s="163">
        <v>0.2</v>
      </c>
      <c r="O230" s="155">
        <v>1.8</v>
      </c>
      <c r="P230" s="88">
        <v>24</v>
      </c>
      <c r="R230" s="157">
        <f t="shared" ref="R230:R235" si="73">(N230-I230)/SQRT((O230^2+J230^2)/2)</f>
        <v>-0.10511766624552735</v>
      </c>
      <c r="S230" s="90">
        <v>1</v>
      </c>
      <c r="T230" s="174">
        <f t="shared" ref="T230:T235" si="74">(N230-I230)/SQRT((((P230-1)*O230^2) + ((K230-1)*J230^2))/(P230+K230-2))*S230</f>
        <v>-0.10648595377424454</v>
      </c>
      <c r="U230" s="174">
        <f t="shared" ref="U230:U238" si="75">T230*(1-(3/(4*(K230+P230-2) -1)))</f>
        <v>-0.10431277104415791</v>
      </c>
      <c r="V230" s="174">
        <f t="shared" ref="V230:V235" si="76">((N230-I230)/O230)*S230 * (1-(3/(4*(K230+P230-2)-1)))</f>
        <v>-0.108843537414966</v>
      </c>
      <c r="W230" s="343">
        <f>V239-(V240*2.5)</f>
        <v>-0.46828714059949911</v>
      </c>
      <c r="X230" s="90">
        <v>1</v>
      </c>
      <c r="Y230" s="90" t="s">
        <v>63</v>
      </c>
      <c r="Z230" s="88" t="s">
        <v>32</v>
      </c>
      <c r="AA230" s="90" t="s">
        <v>48</v>
      </c>
    </row>
    <row r="231" spans="1:27" ht="18.75" customHeight="1" x14ac:dyDescent="0.2">
      <c r="A231" s="90" t="s">
        <v>673</v>
      </c>
      <c r="B231" s="90" t="s">
        <v>127</v>
      </c>
      <c r="C231" s="88">
        <v>2018</v>
      </c>
      <c r="D231" s="152" t="s">
        <v>371</v>
      </c>
      <c r="E231" s="90" t="s">
        <v>372</v>
      </c>
      <c r="F231" s="90">
        <v>1</v>
      </c>
      <c r="G231" s="90">
        <v>2</v>
      </c>
      <c r="H231" s="90"/>
      <c r="I231" s="164">
        <v>2.1</v>
      </c>
      <c r="J231" s="199">
        <v>1.4</v>
      </c>
      <c r="K231" s="90">
        <v>33</v>
      </c>
      <c r="L231" s="89">
        <v>751.2</v>
      </c>
      <c r="M231" s="89"/>
      <c r="N231" s="164">
        <v>1.8</v>
      </c>
      <c r="O231" s="199">
        <v>1.7</v>
      </c>
      <c r="P231" s="90">
        <v>32</v>
      </c>
      <c r="Q231" s="90"/>
      <c r="R231" s="157">
        <f t="shared" si="73"/>
        <v>-0.1926483897203807</v>
      </c>
      <c r="S231" s="90">
        <v>1</v>
      </c>
      <c r="T231" s="174">
        <f t="shared" si="74"/>
        <v>-0.19294224183996631</v>
      </c>
      <c r="U231" s="174">
        <f t="shared" si="75"/>
        <v>-0.19063615926817387</v>
      </c>
      <c r="V231" s="174">
        <f t="shared" si="76"/>
        <v>-0.17436137801734244</v>
      </c>
      <c r="X231" s="90">
        <v>1</v>
      </c>
      <c r="Y231" s="90" t="s">
        <v>63</v>
      </c>
      <c r="Z231" s="88" t="s">
        <v>32</v>
      </c>
      <c r="AA231" s="90" t="s">
        <v>48</v>
      </c>
    </row>
    <row r="232" spans="1:27" ht="18.75" customHeight="1" x14ac:dyDescent="0.2">
      <c r="A232" s="90" t="s">
        <v>673</v>
      </c>
      <c r="B232" s="90" t="s">
        <v>60</v>
      </c>
      <c r="C232" s="88">
        <v>2017</v>
      </c>
      <c r="D232" s="152" t="s">
        <v>363</v>
      </c>
      <c r="E232" s="90" t="s">
        <v>364</v>
      </c>
      <c r="F232" s="90">
        <v>1</v>
      </c>
      <c r="G232" s="90">
        <v>3</v>
      </c>
      <c r="H232" s="90"/>
      <c r="I232" s="163">
        <v>8.5</v>
      </c>
      <c r="J232" s="155">
        <v>11</v>
      </c>
      <c r="K232" s="88">
        <v>37</v>
      </c>
      <c r="L232" s="89">
        <v>720</v>
      </c>
      <c r="M232" s="89"/>
      <c r="N232" s="163">
        <v>7.1</v>
      </c>
      <c r="O232" s="155">
        <v>5.0999999999999996</v>
      </c>
      <c r="P232" s="88">
        <v>30</v>
      </c>
      <c r="R232" s="157">
        <f t="shared" si="73"/>
        <v>-0.16329376207040713</v>
      </c>
      <c r="S232" s="90">
        <v>1</v>
      </c>
      <c r="T232" s="174">
        <f t="shared" si="74"/>
        <v>-0.15789265983573214</v>
      </c>
      <c r="U232" s="174">
        <f t="shared" si="75"/>
        <v>-0.15606378732798235</v>
      </c>
      <c r="V232" s="174">
        <f t="shared" si="76"/>
        <v>-0.27133015368309493</v>
      </c>
      <c r="X232" s="90">
        <v>1</v>
      </c>
      <c r="Y232" s="90" t="s">
        <v>63</v>
      </c>
      <c r="Z232" s="88" t="s">
        <v>32</v>
      </c>
      <c r="AA232" s="90" t="s">
        <v>48</v>
      </c>
    </row>
    <row r="233" spans="1:27" ht="18.75" customHeight="1" x14ac:dyDescent="0.2">
      <c r="A233" s="90" t="s">
        <v>673</v>
      </c>
      <c r="B233" s="90" t="s">
        <v>60</v>
      </c>
      <c r="C233" s="88">
        <v>2017</v>
      </c>
      <c r="D233" s="152" t="s">
        <v>365</v>
      </c>
      <c r="E233" s="90" t="s">
        <v>366</v>
      </c>
      <c r="F233" s="90">
        <v>1</v>
      </c>
      <c r="G233" s="90">
        <v>4</v>
      </c>
      <c r="H233" s="90"/>
      <c r="I233" s="163">
        <v>0.1</v>
      </c>
      <c r="J233" s="155">
        <v>0.2</v>
      </c>
      <c r="K233" s="88">
        <v>37</v>
      </c>
      <c r="L233" s="89">
        <v>720</v>
      </c>
      <c r="M233" s="89"/>
      <c r="N233" s="163">
        <v>0.1</v>
      </c>
      <c r="O233" s="155">
        <v>0.2</v>
      </c>
      <c r="P233" s="88">
        <v>30</v>
      </c>
      <c r="R233" s="157">
        <f t="shared" si="73"/>
        <v>0</v>
      </c>
      <c r="S233" s="90">
        <v>1</v>
      </c>
      <c r="T233" s="174">
        <f t="shared" si="74"/>
        <v>0</v>
      </c>
      <c r="U233" s="174">
        <f t="shared" si="75"/>
        <v>0</v>
      </c>
      <c r="V233" s="174">
        <f t="shared" si="76"/>
        <v>0</v>
      </c>
      <c r="X233" s="90">
        <v>1</v>
      </c>
      <c r="Y233" s="90" t="s">
        <v>63</v>
      </c>
      <c r="Z233" s="88" t="s">
        <v>32</v>
      </c>
      <c r="AA233" s="90" t="s">
        <v>48</v>
      </c>
    </row>
    <row r="234" spans="1:27" ht="18.75" customHeight="1" x14ac:dyDescent="0.2">
      <c r="A234" s="90" t="s">
        <v>673</v>
      </c>
      <c r="B234" s="90" t="s">
        <v>60</v>
      </c>
      <c r="C234" s="88">
        <v>2017</v>
      </c>
      <c r="D234" s="152" t="s">
        <v>367</v>
      </c>
      <c r="E234" s="90" t="s">
        <v>368</v>
      </c>
      <c r="F234" s="90">
        <v>1</v>
      </c>
      <c r="G234" s="90">
        <v>5</v>
      </c>
      <c r="H234" s="90"/>
      <c r="I234" s="163">
        <v>0.7</v>
      </c>
      <c r="J234" s="155">
        <v>1</v>
      </c>
      <c r="K234" s="88">
        <v>37</v>
      </c>
      <c r="L234" s="89">
        <v>720</v>
      </c>
      <c r="M234" s="89"/>
      <c r="N234" s="163">
        <v>0.6</v>
      </c>
      <c r="O234" s="155">
        <v>0.8</v>
      </c>
      <c r="P234" s="88">
        <v>30</v>
      </c>
      <c r="R234" s="157">
        <f t="shared" si="73"/>
        <v>-0.11043152607484651</v>
      </c>
      <c r="S234" s="90">
        <v>1</v>
      </c>
      <c r="T234" s="174">
        <f t="shared" si="74"/>
        <v>-0.10914893373767046</v>
      </c>
      <c r="U234" s="174">
        <f t="shared" si="75"/>
        <v>-0.10788466037391366</v>
      </c>
      <c r="V234" s="174">
        <f t="shared" si="76"/>
        <v>-0.12355212355212353</v>
      </c>
      <c r="X234" s="90">
        <v>1</v>
      </c>
      <c r="Y234" s="90" t="s">
        <v>63</v>
      </c>
      <c r="Z234" s="88" t="s">
        <v>32</v>
      </c>
      <c r="AA234" s="90" t="s">
        <v>48</v>
      </c>
    </row>
    <row r="235" spans="1:27" ht="18.75" customHeight="1" x14ac:dyDescent="0.2">
      <c r="A235" s="90" t="s">
        <v>673</v>
      </c>
      <c r="B235" s="90" t="s">
        <v>60</v>
      </c>
      <c r="C235" s="88">
        <v>2017</v>
      </c>
      <c r="D235" s="152" t="s">
        <v>369</v>
      </c>
      <c r="E235" s="90" t="s">
        <v>370</v>
      </c>
      <c r="F235" s="90">
        <v>1</v>
      </c>
      <c r="G235" s="90">
        <v>6</v>
      </c>
      <c r="H235" s="90"/>
      <c r="I235" s="163">
        <v>7.9</v>
      </c>
      <c r="J235" s="155">
        <v>10.8</v>
      </c>
      <c r="K235" s="88">
        <v>37</v>
      </c>
      <c r="L235" s="89">
        <v>720</v>
      </c>
      <c r="M235" s="89"/>
      <c r="N235" s="163">
        <v>5.8</v>
      </c>
      <c r="O235" s="155">
        <v>5.7</v>
      </c>
      <c r="P235" s="88">
        <v>30</v>
      </c>
      <c r="R235" s="157">
        <f t="shared" si="73"/>
        <v>-0.24319339952292043</v>
      </c>
      <c r="S235" s="90">
        <v>1</v>
      </c>
      <c r="T235" s="174">
        <f t="shared" si="74"/>
        <v>-0.23612480474013478</v>
      </c>
      <c r="U235" s="174">
        <f t="shared" si="75"/>
        <v>-0.23338976839179346</v>
      </c>
      <c r="V235" s="174">
        <f t="shared" si="76"/>
        <v>-0.36415362731152212</v>
      </c>
      <c r="X235" s="90">
        <v>1</v>
      </c>
      <c r="Y235" s="90" t="s">
        <v>63</v>
      </c>
      <c r="Z235" s="88" t="s">
        <v>32</v>
      </c>
      <c r="AA235" s="90" t="s">
        <v>48</v>
      </c>
    </row>
    <row r="236" spans="1:27" ht="18.75" customHeight="1" x14ac:dyDescent="0.2">
      <c r="A236" s="90" t="s">
        <v>673</v>
      </c>
      <c r="B236" s="90" t="s">
        <v>509</v>
      </c>
      <c r="C236" s="88">
        <v>2021</v>
      </c>
      <c r="D236" s="152" t="s">
        <v>515</v>
      </c>
      <c r="F236" s="90">
        <v>2</v>
      </c>
      <c r="G236" s="90">
        <v>7</v>
      </c>
      <c r="H236" s="90"/>
      <c r="I236" s="164">
        <v>36</v>
      </c>
      <c r="J236" s="199">
        <v>0</v>
      </c>
      <c r="K236" s="90">
        <v>19</v>
      </c>
      <c r="L236" s="89">
        <v>890</v>
      </c>
      <c r="M236" s="89"/>
      <c r="N236" s="164">
        <v>36</v>
      </c>
      <c r="O236" s="199">
        <v>0</v>
      </c>
      <c r="P236" s="90">
        <v>25</v>
      </c>
      <c r="Q236" s="90"/>
      <c r="R236" s="157">
        <v>0</v>
      </c>
      <c r="S236" s="90">
        <v>-1</v>
      </c>
      <c r="T236" s="174">
        <v>0</v>
      </c>
      <c r="U236" s="174">
        <f t="shared" si="75"/>
        <v>0</v>
      </c>
      <c r="V236" s="174">
        <v>0</v>
      </c>
      <c r="X236" s="90">
        <v>2</v>
      </c>
      <c r="AA236" s="90"/>
    </row>
    <row r="237" spans="1:27" ht="18.75" customHeight="1" x14ac:dyDescent="0.2">
      <c r="A237" s="90" t="s">
        <v>673</v>
      </c>
      <c r="B237" s="90" t="s">
        <v>509</v>
      </c>
      <c r="C237" s="88">
        <v>2021</v>
      </c>
      <c r="D237" s="152" t="s">
        <v>516</v>
      </c>
      <c r="F237" s="90">
        <v>2</v>
      </c>
      <c r="G237" s="90">
        <v>8</v>
      </c>
      <c r="H237" s="90"/>
      <c r="I237" s="164">
        <v>15</v>
      </c>
      <c r="J237" s="199">
        <v>0.8</v>
      </c>
      <c r="K237" s="90">
        <v>19</v>
      </c>
      <c r="L237" s="89">
        <v>890</v>
      </c>
      <c r="M237" s="89"/>
      <c r="N237" s="164">
        <v>15</v>
      </c>
      <c r="O237" s="199">
        <v>0</v>
      </c>
      <c r="P237" s="90">
        <v>25</v>
      </c>
      <c r="Q237" s="90"/>
      <c r="R237" s="157">
        <f>(N237-I237)/SQRT((O237^2+J237^2)/2)</f>
        <v>0</v>
      </c>
      <c r="S237" s="90">
        <v>-1</v>
      </c>
      <c r="T237" s="174">
        <f>(N237-I237)/SQRT((((P237-1)*O237^2) + ((K237-1)*J237^2))/(P237+K237-2))*S237</f>
        <v>0</v>
      </c>
      <c r="U237" s="174">
        <f t="shared" si="75"/>
        <v>0</v>
      </c>
      <c r="V237" s="174">
        <v>0</v>
      </c>
      <c r="X237" s="90">
        <v>2</v>
      </c>
      <c r="AA237" s="90"/>
    </row>
    <row r="238" spans="1:27" ht="18.75" customHeight="1" x14ac:dyDescent="0.2">
      <c r="A238" s="90" t="s">
        <v>673</v>
      </c>
      <c r="B238" s="90" t="s">
        <v>509</v>
      </c>
      <c r="C238" s="88">
        <v>2021</v>
      </c>
      <c r="D238" s="152" t="s">
        <v>517</v>
      </c>
      <c r="F238" s="90">
        <v>2</v>
      </c>
      <c r="G238" s="90">
        <v>9</v>
      </c>
      <c r="H238" s="90"/>
      <c r="I238" s="164">
        <v>33</v>
      </c>
      <c r="J238" s="199">
        <v>4.8</v>
      </c>
      <c r="K238" s="90">
        <v>19</v>
      </c>
      <c r="L238" s="89">
        <v>890</v>
      </c>
      <c r="M238" s="89"/>
      <c r="N238" s="164">
        <v>35</v>
      </c>
      <c r="O238" s="199">
        <v>1.57</v>
      </c>
      <c r="P238" s="90">
        <v>25</v>
      </c>
      <c r="Q238" s="90"/>
      <c r="R238" s="157">
        <f>(N238-I238)/SQRT((O238^2+J238^2)/2)</f>
        <v>0.56005822668002581</v>
      </c>
      <c r="S238" s="90">
        <v>-1</v>
      </c>
      <c r="T238" s="174">
        <f>(N238-I238)/SQRT((((P238-1)*O238^2) + ((K238-1)*J238^2))/(P238+K238-2))*S238</f>
        <v>-0.59541743943320657</v>
      </c>
      <c r="U238" s="174">
        <f t="shared" si="75"/>
        <v>-0.58472131776674174</v>
      </c>
      <c r="V238" s="336">
        <f>((N238-I238)/O238)*S238 * (1-(3/(4*(K238+P238-2)-1)))</f>
        <v>-1.2510011823486784</v>
      </c>
      <c r="X238" s="90">
        <v>2</v>
      </c>
      <c r="AA238" s="90"/>
    </row>
    <row r="239" spans="1:27" ht="18.75" customHeight="1" x14ac:dyDescent="0.2">
      <c r="A239" s="90"/>
      <c r="B239" s="90"/>
      <c r="D239" s="152"/>
      <c r="F239" s="173">
        <v>2</v>
      </c>
      <c r="G239" s="173">
        <v>9</v>
      </c>
      <c r="H239" s="90"/>
      <c r="I239" s="163"/>
      <c r="J239" s="155">
        <f>AVERAGE(J230:J238)</f>
        <v>3.5555555555555554</v>
      </c>
      <c r="K239" s="337">
        <f>SUM(K232,K236)</f>
        <v>56</v>
      </c>
      <c r="L239" s="337">
        <f>AVERAGE(L232,L236)</f>
        <v>805</v>
      </c>
      <c r="M239" s="89"/>
      <c r="N239" s="163"/>
      <c r="O239" s="155">
        <f>AVERAGE(O230:O238)</f>
        <v>1.8744444444444446</v>
      </c>
      <c r="P239" s="337">
        <f>SUM(P232,P236)</f>
        <v>55</v>
      </c>
      <c r="R239" s="157"/>
      <c r="S239" s="90"/>
      <c r="T239" s="189">
        <f>AVERAGE(T230:T238)</f>
        <v>-0.15533467037343943</v>
      </c>
      <c r="U239" s="189">
        <f t="shared" ref="U239" si="77">AVERAGE(U230:U238)</f>
        <v>-0.15300094046364032</v>
      </c>
      <c r="V239" s="189">
        <f>AVERAGE(V230:V237)</f>
        <v>-0.13028010249738115</v>
      </c>
      <c r="AA239" s="90"/>
    </row>
    <row r="240" spans="1:27" ht="18.75" customHeight="1" x14ac:dyDescent="0.2">
      <c r="A240" s="90"/>
      <c r="B240" s="90"/>
      <c r="D240" s="152"/>
      <c r="F240" s="90"/>
      <c r="G240" s="90"/>
      <c r="H240" s="90"/>
      <c r="I240" s="163"/>
      <c r="J240" s="155"/>
      <c r="L240" s="89"/>
      <c r="M240" s="89"/>
      <c r="N240" s="163"/>
      <c r="O240" s="155"/>
      <c r="R240" s="157"/>
      <c r="S240" s="90"/>
      <c r="T240" s="197">
        <f>STDEV(T230:T238)</f>
        <v>0.18659001213156229</v>
      </c>
      <c r="U240" s="197">
        <f t="shared" ref="U240" si="78">STDEV(U230:U238)</f>
        <v>0.18333866152512818</v>
      </c>
      <c r="V240" s="197">
        <f>STDEV(V230:V237)</f>
        <v>0.13520281524084718</v>
      </c>
      <c r="AA240" s="90"/>
    </row>
    <row r="241" spans="1:27" ht="18.75" customHeight="1" x14ac:dyDescent="0.2">
      <c r="A241" s="90" t="s">
        <v>373</v>
      </c>
      <c r="B241" s="90" t="s">
        <v>60</v>
      </c>
      <c r="C241" s="88">
        <v>2017</v>
      </c>
      <c r="D241" s="152" t="s">
        <v>374</v>
      </c>
      <c r="E241" s="90" t="s">
        <v>375</v>
      </c>
      <c r="F241" s="90">
        <v>1</v>
      </c>
      <c r="G241" s="90">
        <v>1</v>
      </c>
      <c r="H241" s="90"/>
      <c r="I241" s="163">
        <v>3.9</v>
      </c>
      <c r="J241" s="155">
        <v>4.7</v>
      </c>
      <c r="K241" s="88">
        <v>37</v>
      </c>
      <c r="L241" s="89">
        <v>720</v>
      </c>
      <c r="M241" s="89"/>
      <c r="N241" s="163">
        <v>4.8</v>
      </c>
      <c r="O241" s="155">
        <v>5.7</v>
      </c>
      <c r="P241" s="88">
        <v>30</v>
      </c>
      <c r="R241" s="157">
        <f>(N241-I241)/SQRT((O241^2+J241^2)/2)</f>
        <v>0.172282331959664</v>
      </c>
      <c r="S241" s="90">
        <v>1</v>
      </c>
      <c r="T241" s="174">
        <f t="shared" ref="T241:T242" si="79">(N241-I241)/SQRT((((P241-1)*O241^2) + ((K241-1)*J241^2))/(P241+K241-2))*S241</f>
        <v>0.1740776559556978</v>
      </c>
      <c r="U241" s="174">
        <f t="shared" ref="U241:U246" si="80">T241*(1-(3/(4*(K241+P241-2) -1)))</f>
        <v>0.17206131245041945</v>
      </c>
      <c r="V241" s="174">
        <f>((N241-I241)/O241)*S241 * (1-(3/(4*(K241+P241-2)-1)))</f>
        <v>0.15606584027636658</v>
      </c>
      <c r="X241" s="90">
        <v>1</v>
      </c>
      <c r="Y241" s="90" t="s">
        <v>63</v>
      </c>
      <c r="Z241" s="88" t="s">
        <v>32</v>
      </c>
      <c r="AA241" s="90" t="s">
        <v>48</v>
      </c>
    </row>
    <row r="242" spans="1:27" ht="18.75" customHeight="1" x14ac:dyDescent="0.2">
      <c r="A242" s="90" t="s">
        <v>373</v>
      </c>
      <c r="B242" s="90" t="s">
        <v>60</v>
      </c>
      <c r="C242" s="88">
        <v>2017</v>
      </c>
      <c r="D242" s="152" t="s">
        <v>376</v>
      </c>
      <c r="E242" s="90" t="s">
        <v>377</v>
      </c>
      <c r="F242" s="90">
        <v>1</v>
      </c>
      <c r="G242" s="90">
        <v>2</v>
      </c>
      <c r="H242" s="90"/>
      <c r="I242" s="163">
        <v>13.3</v>
      </c>
      <c r="J242" s="155">
        <v>8.1999999999999993</v>
      </c>
      <c r="K242" s="88">
        <v>37</v>
      </c>
      <c r="L242" s="89">
        <v>720</v>
      </c>
      <c r="M242" s="89"/>
      <c r="N242" s="163">
        <v>11.9</v>
      </c>
      <c r="O242" s="155">
        <v>7.6</v>
      </c>
      <c r="P242" s="88">
        <v>30</v>
      </c>
      <c r="R242" s="157">
        <f>(N242-I242)/SQRT((O242^2+J242^2)/2)</f>
        <v>-0.1770875489694293</v>
      </c>
      <c r="S242" s="90">
        <v>1</v>
      </c>
      <c r="T242" s="174">
        <f t="shared" si="79"/>
        <v>-0.17636877778397697</v>
      </c>
      <c r="U242" s="174">
        <f t="shared" si="80"/>
        <v>-0.17432589618802358</v>
      </c>
      <c r="V242" s="174">
        <f>((N242-I242)/O242)*S242 * (1-(3/(4*(K242+P242-2)-1)))</f>
        <v>-0.18207681365576106</v>
      </c>
      <c r="X242" s="90">
        <v>1</v>
      </c>
      <c r="Y242" s="90" t="s">
        <v>63</v>
      </c>
      <c r="Z242" s="88" t="s">
        <v>32</v>
      </c>
      <c r="AA242" s="90" t="s">
        <v>48</v>
      </c>
    </row>
    <row r="243" spans="1:27" ht="18.75" customHeight="1" x14ac:dyDescent="0.2">
      <c r="A243" s="90"/>
      <c r="B243" s="90"/>
      <c r="D243" s="221"/>
      <c r="F243" s="173">
        <v>1</v>
      </c>
      <c r="G243" s="173">
        <v>2</v>
      </c>
      <c r="H243" s="90"/>
      <c r="I243" s="163"/>
      <c r="J243" s="155">
        <f>AVERAGE(J241:J242)</f>
        <v>6.4499999999999993</v>
      </c>
      <c r="K243" s="337">
        <v>37</v>
      </c>
      <c r="L243" s="89">
        <v>720</v>
      </c>
      <c r="M243" s="89"/>
      <c r="N243" s="163"/>
      <c r="O243" s="155">
        <f>AVERAGE(O241:O242)</f>
        <v>6.65</v>
      </c>
      <c r="P243" s="337">
        <v>30</v>
      </c>
      <c r="R243" s="157"/>
      <c r="S243" s="90"/>
      <c r="T243" s="189">
        <f t="shared" ref="T243:V243" si="81">AVERAGE(T241:T242)</f>
        <v>-1.1455609141395873E-3</v>
      </c>
      <c r="U243" s="189">
        <f t="shared" si="81"/>
        <v>-1.1322918688020656E-3</v>
      </c>
      <c r="V243" s="189">
        <f t="shared" si="81"/>
        <v>-1.300548668969724E-2</v>
      </c>
      <c r="AA243" s="90"/>
    </row>
    <row r="244" spans="1:27" ht="18.75" customHeight="1" x14ac:dyDescent="0.2">
      <c r="A244" s="90"/>
      <c r="B244" s="90"/>
      <c r="D244" s="221"/>
      <c r="F244" s="90"/>
      <c r="G244" s="90"/>
      <c r="H244" s="90"/>
      <c r="I244" s="163"/>
      <c r="J244" s="155"/>
      <c r="L244" s="89"/>
      <c r="M244" s="89"/>
      <c r="N244" s="163"/>
      <c r="O244" s="155"/>
      <c r="R244" s="157"/>
      <c r="S244" s="90"/>
      <c r="T244" s="197">
        <f t="shared" ref="T244:V244" si="82">STDEV(T241:T242)</f>
        <v>0.24780304973996614</v>
      </c>
      <c r="U244" s="197">
        <f t="shared" si="82"/>
        <v>0.24493274414452251</v>
      </c>
      <c r="V244" s="197">
        <f t="shared" si="82"/>
        <v>0.23910296360382344</v>
      </c>
      <c r="Z244" s="90"/>
      <c r="AA244" s="90"/>
    </row>
    <row r="245" spans="1:27" ht="18.75" customHeight="1" x14ac:dyDescent="0.2">
      <c r="A245" s="90" t="s">
        <v>378</v>
      </c>
      <c r="B245" s="90" t="s">
        <v>60</v>
      </c>
      <c r="C245" s="88">
        <v>2017</v>
      </c>
      <c r="D245" s="152" t="s">
        <v>379</v>
      </c>
      <c r="E245" s="90" t="s">
        <v>380</v>
      </c>
      <c r="F245" s="90">
        <v>1</v>
      </c>
      <c r="G245" s="90">
        <v>1</v>
      </c>
      <c r="H245" s="90"/>
      <c r="I245" s="164">
        <v>14.5</v>
      </c>
      <c r="J245" s="199">
        <v>13.1</v>
      </c>
      <c r="K245" s="90">
        <v>37</v>
      </c>
      <c r="L245" s="89">
        <v>720</v>
      </c>
      <c r="M245" s="89"/>
      <c r="N245" s="164">
        <v>11.2</v>
      </c>
      <c r="O245" s="199">
        <v>8.6999999999999993</v>
      </c>
      <c r="P245" s="90">
        <v>30</v>
      </c>
      <c r="Q245" s="90"/>
      <c r="R245" s="157">
        <f>(N245-I245)/SQRT((O245^2+J245^2)/2)</f>
        <v>-0.29676786992716719</v>
      </c>
      <c r="S245" s="90">
        <v>1</v>
      </c>
      <c r="T245" s="174">
        <f t="shared" ref="T245:T246" si="83">(N245-I245)/SQRT((((P245-1)*O245^2) + ((K245-1)*J245^2))/(P245+K245-2))*S245</f>
        <v>-0.29075744951085403</v>
      </c>
      <c r="U245" s="174">
        <f t="shared" si="80"/>
        <v>-0.28738960260532292</v>
      </c>
      <c r="V245" s="174">
        <f>((N245-I245)/O245)*S245 * (1-(3/(4*(K245+P245-2)-1)))</f>
        <v>-0.37491678870989226</v>
      </c>
      <c r="X245" s="90">
        <v>1</v>
      </c>
      <c r="Y245" s="90" t="s">
        <v>63</v>
      </c>
      <c r="Z245" s="88" t="s">
        <v>32</v>
      </c>
      <c r="AA245" s="90" t="s">
        <v>48</v>
      </c>
    </row>
    <row r="246" spans="1:27" ht="18.75" customHeight="1" x14ac:dyDescent="0.2">
      <c r="A246" s="90" t="s">
        <v>378</v>
      </c>
      <c r="B246" s="90" t="s">
        <v>60</v>
      </c>
      <c r="C246" s="88">
        <v>2017</v>
      </c>
      <c r="D246" s="152" t="s">
        <v>381</v>
      </c>
      <c r="E246" s="90" t="s">
        <v>382</v>
      </c>
      <c r="F246" s="90">
        <v>1</v>
      </c>
      <c r="G246" s="90">
        <v>2</v>
      </c>
      <c r="H246" s="90"/>
      <c r="I246" s="164">
        <v>10.9</v>
      </c>
      <c r="J246" s="199">
        <v>14.7</v>
      </c>
      <c r="K246" s="90">
        <v>37</v>
      </c>
      <c r="L246" s="89">
        <v>720</v>
      </c>
      <c r="M246" s="89"/>
      <c r="N246" s="164">
        <v>6.8</v>
      </c>
      <c r="O246" s="199">
        <v>6.6</v>
      </c>
      <c r="P246" s="90">
        <v>30</v>
      </c>
      <c r="Q246" s="90"/>
      <c r="R246" s="157">
        <f>(N246-I246)/SQRT((O246^2+J246^2)/2)</f>
        <v>-0.35983606683218988</v>
      </c>
      <c r="S246" s="90">
        <v>1</v>
      </c>
      <c r="T246" s="174">
        <f t="shared" si="83"/>
        <v>-0.34761359776129364</v>
      </c>
      <c r="U246" s="174">
        <f t="shared" si="80"/>
        <v>-0.34358718543201228</v>
      </c>
      <c r="V246" s="174">
        <f>((N246-I246)/O246)*S246 * (1-(3/(4*(K246+P246-2)-1)))</f>
        <v>-0.61401661401661412</v>
      </c>
      <c r="X246" s="90">
        <v>1</v>
      </c>
      <c r="Y246" s="90" t="s">
        <v>63</v>
      </c>
      <c r="Z246" s="88" t="s">
        <v>32</v>
      </c>
      <c r="AA246" s="90" t="s">
        <v>48</v>
      </c>
    </row>
    <row r="247" spans="1:27" ht="18.75" customHeight="1" x14ac:dyDescent="0.2">
      <c r="A247" s="90"/>
      <c r="F247" s="337">
        <v>1</v>
      </c>
      <c r="G247" s="337">
        <v>2</v>
      </c>
      <c r="I247" s="163"/>
      <c r="J247" s="155">
        <f>AVERAGE(J245:J246)</f>
        <v>13.899999999999999</v>
      </c>
      <c r="K247" s="337">
        <v>37</v>
      </c>
      <c r="L247" s="89">
        <v>720</v>
      </c>
      <c r="M247" s="89"/>
      <c r="N247" s="163"/>
      <c r="O247" s="155">
        <f>AVERAGE(O245:O246)</f>
        <v>7.6499999999999995</v>
      </c>
      <c r="P247" s="337">
        <v>30</v>
      </c>
      <c r="T247" s="189">
        <f t="shared" ref="T247:V247" si="84">AVERAGE(T245:T246)</f>
        <v>-0.31918552363607383</v>
      </c>
      <c r="U247" s="189">
        <f t="shared" si="84"/>
        <v>-0.31548839401866757</v>
      </c>
      <c r="V247" s="189">
        <f t="shared" si="84"/>
        <v>-0.49446670136325321</v>
      </c>
      <c r="AA247" s="90"/>
    </row>
    <row r="248" spans="1:27" ht="18.75" customHeight="1" x14ac:dyDescent="0.2">
      <c r="A248" s="90"/>
      <c r="I248" s="163"/>
      <c r="J248" s="155"/>
      <c r="K248" s="337"/>
      <c r="L248" s="89"/>
      <c r="M248" s="89"/>
      <c r="N248" s="163"/>
      <c r="O248" s="155"/>
      <c r="P248" s="337"/>
      <c r="T248" s="197">
        <f t="shared" ref="T248:V248" si="85">STDEV(T245:T246)</f>
        <v>4.0203367980033509E-2</v>
      </c>
      <c r="U248" s="197">
        <f t="shared" si="85"/>
        <v>3.9737691903044707E-2</v>
      </c>
      <c r="V248" s="197">
        <f t="shared" si="85"/>
        <v>0.16906910785490173</v>
      </c>
      <c r="AA248" s="90"/>
    </row>
    <row r="249" spans="1:27" ht="18.75" customHeight="1" x14ac:dyDescent="0.2">
      <c r="A249" s="90" t="s">
        <v>383</v>
      </c>
      <c r="B249" s="90" t="s">
        <v>384</v>
      </c>
      <c r="C249" s="88">
        <v>2016</v>
      </c>
      <c r="D249" s="152" t="s">
        <v>385</v>
      </c>
      <c r="E249" s="90" t="s">
        <v>386</v>
      </c>
      <c r="F249" s="90">
        <v>1</v>
      </c>
      <c r="G249" s="90">
        <v>1</v>
      </c>
      <c r="H249" s="90"/>
      <c r="I249" s="164">
        <v>24.4</v>
      </c>
      <c r="J249" s="199">
        <v>3.9</v>
      </c>
      <c r="K249" s="90">
        <v>56</v>
      </c>
      <c r="L249" s="89">
        <v>657</v>
      </c>
      <c r="M249" s="89"/>
      <c r="N249" s="164">
        <v>26.1</v>
      </c>
      <c r="O249" s="199">
        <v>3.6</v>
      </c>
      <c r="P249" s="90">
        <v>53</v>
      </c>
      <c r="Q249" s="90"/>
      <c r="R249" s="157">
        <f t="shared" ref="R249:R264" si="86">(N249-I249)/SQRT((O249^2+J249^2)/2)</f>
        <v>0.45297110128721196</v>
      </c>
      <c r="S249" s="90">
        <v>-1</v>
      </c>
      <c r="T249" s="174">
        <f t="shared" ref="T249:T264" si="87">(N249-I249)/SQRT((((P249-1)*O249^2) + ((K249-1)*J249^2))/(P249+K249-2))*S249</f>
        <v>-0.45246475809641312</v>
      </c>
      <c r="U249" s="174">
        <f t="shared" ref="U249:U264" si="88">T249*(1-(3/(4*(K249+P249-2) -1)))</f>
        <v>-0.44928584878894418</v>
      </c>
      <c r="V249" s="174">
        <f t="shared" ref="V249:V264" si="89">((N249-I249)/O249)*S249 * (1-(3/(4*(K249+P249-2)-1)))</f>
        <v>-0.4689045016913877</v>
      </c>
      <c r="W249" s="343">
        <f>V265-(V266*2.5)</f>
        <v>-1.2239568202589994</v>
      </c>
      <c r="X249" s="90">
        <v>1</v>
      </c>
      <c r="Y249" s="90" t="s">
        <v>63</v>
      </c>
      <c r="Z249" s="88" t="s">
        <v>44</v>
      </c>
      <c r="AA249" s="90" t="s">
        <v>48</v>
      </c>
    </row>
    <row r="250" spans="1:27" ht="18.75" customHeight="1" x14ac:dyDescent="0.2">
      <c r="A250" s="90" t="s">
        <v>383</v>
      </c>
      <c r="B250" s="90" t="s">
        <v>384</v>
      </c>
      <c r="C250" s="88">
        <v>2016</v>
      </c>
      <c r="D250" s="152" t="s">
        <v>387</v>
      </c>
      <c r="E250" s="90" t="s">
        <v>388</v>
      </c>
      <c r="F250" s="90">
        <v>1</v>
      </c>
      <c r="G250" s="90">
        <v>2</v>
      </c>
      <c r="H250" s="90"/>
      <c r="I250" s="164">
        <v>7.1</v>
      </c>
      <c r="J250" s="199">
        <v>3.5</v>
      </c>
      <c r="K250" s="90">
        <v>56</v>
      </c>
      <c r="L250" s="89">
        <v>657</v>
      </c>
      <c r="M250" s="89"/>
      <c r="N250" s="164">
        <v>5.6</v>
      </c>
      <c r="O250" s="199">
        <v>3.4</v>
      </c>
      <c r="P250" s="90">
        <v>53</v>
      </c>
      <c r="Q250" s="90"/>
      <c r="R250" s="157">
        <f t="shared" si="86"/>
        <v>-0.43473695503786941</v>
      </c>
      <c r="S250" s="90">
        <v>1</v>
      </c>
      <c r="T250" s="174">
        <f t="shared" si="87"/>
        <v>-0.43456044915538544</v>
      </c>
      <c r="U250" s="174">
        <f t="shared" si="88"/>
        <v>-0.43150733124562862</v>
      </c>
      <c r="V250" s="174">
        <f t="shared" si="89"/>
        <v>-0.43807687009229918</v>
      </c>
      <c r="X250" s="90">
        <v>1</v>
      </c>
      <c r="Y250" s="90" t="s">
        <v>63</v>
      </c>
      <c r="Z250" s="88" t="s">
        <v>44</v>
      </c>
      <c r="AA250" s="90" t="s">
        <v>48</v>
      </c>
    </row>
    <row r="251" spans="1:27" ht="18.75" customHeight="1" x14ac:dyDescent="0.2">
      <c r="A251" s="90" t="s">
        <v>383</v>
      </c>
      <c r="B251" s="90" t="s">
        <v>384</v>
      </c>
      <c r="C251" s="88">
        <v>2016</v>
      </c>
      <c r="D251" s="152" t="s">
        <v>389</v>
      </c>
      <c r="E251" s="90" t="s">
        <v>390</v>
      </c>
      <c r="F251" s="90">
        <v>1</v>
      </c>
      <c r="G251" s="90">
        <v>3</v>
      </c>
      <c r="H251" s="90"/>
      <c r="I251" s="164">
        <v>1197</v>
      </c>
      <c r="J251" s="199">
        <v>272</v>
      </c>
      <c r="K251" s="90">
        <v>56</v>
      </c>
      <c r="L251" s="89">
        <v>657</v>
      </c>
      <c r="M251" s="89"/>
      <c r="N251" s="164">
        <v>1133</v>
      </c>
      <c r="O251" s="199">
        <v>221</v>
      </c>
      <c r="P251" s="90">
        <v>53</v>
      </c>
      <c r="Q251" s="90"/>
      <c r="R251" s="157">
        <f t="shared" si="86"/>
        <v>-0.25825669292048387</v>
      </c>
      <c r="S251" s="90">
        <v>1</v>
      </c>
      <c r="T251" s="174">
        <f t="shared" si="87"/>
        <v>-0.25751874648171857</v>
      </c>
      <c r="U251" s="174">
        <f t="shared" si="88"/>
        <v>-0.25570948128395476</v>
      </c>
      <c r="V251" s="174">
        <f t="shared" si="89"/>
        <v>-0.28755815062468876</v>
      </c>
      <c r="X251" s="90">
        <v>1</v>
      </c>
      <c r="Y251" s="90" t="s">
        <v>63</v>
      </c>
      <c r="Z251" s="88" t="s">
        <v>44</v>
      </c>
      <c r="AA251" s="90" t="s">
        <v>48</v>
      </c>
    </row>
    <row r="252" spans="1:27" ht="18.75" customHeight="1" x14ac:dyDescent="0.2">
      <c r="A252" s="90" t="s">
        <v>383</v>
      </c>
      <c r="B252" s="90" t="s">
        <v>384</v>
      </c>
      <c r="C252" s="88">
        <v>2016</v>
      </c>
      <c r="D252" s="152" t="s">
        <v>391</v>
      </c>
      <c r="E252" s="90" t="s">
        <v>392</v>
      </c>
      <c r="F252" s="90">
        <v>1</v>
      </c>
      <c r="G252" s="90">
        <v>4</v>
      </c>
      <c r="H252" s="90"/>
      <c r="I252" s="164">
        <v>5.7</v>
      </c>
      <c r="J252" s="199">
        <v>3.1</v>
      </c>
      <c r="K252" s="90">
        <v>56</v>
      </c>
      <c r="L252" s="89">
        <v>657</v>
      </c>
      <c r="M252" s="89"/>
      <c r="N252" s="164">
        <v>4.5999999999999996</v>
      </c>
      <c r="O252" s="199">
        <v>2.5</v>
      </c>
      <c r="P252" s="90">
        <v>53</v>
      </c>
      <c r="Q252" s="90"/>
      <c r="R252" s="157">
        <f t="shared" si="86"/>
        <v>-0.39062145332563941</v>
      </c>
      <c r="S252" s="90">
        <v>1</v>
      </c>
      <c r="T252" s="174">
        <f t="shared" si="87"/>
        <v>-0.38946648469174233</v>
      </c>
      <c r="U252" s="174">
        <f t="shared" si="88"/>
        <v>-0.38673018620444671</v>
      </c>
      <c r="V252" s="174">
        <f t="shared" si="89"/>
        <v>-0.43690866510538662</v>
      </c>
      <c r="X252" s="90">
        <v>1</v>
      </c>
      <c r="Y252" s="90" t="s">
        <v>63</v>
      </c>
      <c r="Z252" s="88" t="s">
        <v>44</v>
      </c>
      <c r="AA252" s="90" t="s">
        <v>48</v>
      </c>
    </row>
    <row r="253" spans="1:27" ht="18.75" customHeight="1" x14ac:dyDescent="0.2">
      <c r="A253" s="90" t="s">
        <v>383</v>
      </c>
      <c r="B253" s="90" t="s">
        <v>384</v>
      </c>
      <c r="C253" s="88">
        <v>2016</v>
      </c>
      <c r="D253" s="152" t="s">
        <v>393</v>
      </c>
      <c r="E253" s="90" t="s">
        <v>394</v>
      </c>
      <c r="F253" s="90">
        <v>1</v>
      </c>
      <c r="G253" s="90">
        <v>5</v>
      </c>
      <c r="H253" s="90"/>
      <c r="I253" s="164">
        <v>874</v>
      </c>
      <c r="J253" s="199">
        <v>182</v>
      </c>
      <c r="K253" s="90">
        <v>56</v>
      </c>
      <c r="L253" s="89">
        <v>657</v>
      </c>
      <c r="M253" s="89"/>
      <c r="N253" s="164">
        <v>796</v>
      </c>
      <c r="O253" s="199">
        <v>157</v>
      </c>
      <c r="P253" s="90">
        <v>53</v>
      </c>
      <c r="Q253" s="90"/>
      <c r="R253" s="157">
        <f t="shared" si="86"/>
        <v>-0.4589307316362739</v>
      </c>
      <c r="S253" s="90">
        <v>1</v>
      </c>
      <c r="T253" s="174">
        <f t="shared" si="87"/>
        <v>-0.4579898559242136</v>
      </c>
      <c r="U253" s="174">
        <f t="shared" si="88"/>
        <v>-0.45477212859921912</v>
      </c>
      <c r="V253" s="174">
        <f t="shared" si="89"/>
        <v>-0.49332478109757005</v>
      </c>
      <c r="X253" s="90">
        <v>1</v>
      </c>
      <c r="Y253" s="90" t="s">
        <v>63</v>
      </c>
      <c r="Z253" s="88" t="s">
        <v>44</v>
      </c>
      <c r="AA253" s="90" t="s">
        <v>48</v>
      </c>
    </row>
    <row r="254" spans="1:27" ht="18.75" customHeight="1" x14ac:dyDescent="0.2">
      <c r="A254" s="90" t="s">
        <v>383</v>
      </c>
      <c r="B254" s="90" t="s">
        <v>384</v>
      </c>
      <c r="C254" s="88">
        <v>2016</v>
      </c>
      <c r="D254" s="152" t="s">
        <v>395</v>
      </c>
      <c r="E254" s="90" t="s">
        <v>396</v>
      </c>
      <c r="F254" s="90">
        <v>1</v>
      </c>
      <c r="G254" s="90">
        <v>6</v>
      </c>
      <c r="H254" s="90"/>
      <c r="I254" s="164">
        <v>49.2</v>
      </c>
      <c r="J254" s="199">
        <v>5.0999999999999996</v>
      </c>
      <c r="K254" s="90">
        <v>56</v>
      </c>
      <c r="L254" s="89">
        <v>657</v>
      </c>
      <c r="M254" s="89"/>
      <c r="N254" s="164">
        <v>51.3</v>
      </c>
      <c r="O254" s="199">
        <v>4.5999999999999996</v>
      </c>
      <c r="P254" s="90">
        <v>53</v>
      </c>
      <c r="Q254" s="90"/>
      <c r="R254" s="157">
        <f t="shared" si="86"/>
        <v>0.43241560109111549</v>
      </c>
      <c r="S254" s="90">
        <v>-1</v>
      </c>
      <c r="T254" s="174">
        <f t="shared" si="87"/>
        <v>-0.4317936632940807</v>
      </c>
      <c r="U254" s="174">
        <f t="shared" si="88"/>
        <v>-0.42875998416086702</v>
      </c>
      <c r="V254" s="174">
        <f t="shared" si="89"/>
        <v>-0.45331432644333453</v>
      </c>
      <c r="X254" s="90">
        <v>1</v>
      </c>
      <c r="Y254" s="90" t="s">
        <v>63</v>
      </c>
      <c r="Z254" s="88" t="s">
        <v>44</v>
      </c>
      <c r="AA254" s="90" t="s">
        <v>48</v>
      </c>
    </row>
    <row r="255" spans="1:27" ht="18.75" customHeight="1" x14ac:dyDescent="0.2">
      <c r="A255" s="90" t="s">
        <v>383</v>
      </c>
      <c r="B255" s="90" t="s">
        <v>397</v>
      </c>
      <c r="C255" s="88">
        <v>2020</v>
      </c>
      <c r="D255" s="152" t="s">
        <v>398</v>
      </c>
      <c r="E255" s="90" t="s">
        <v>398</v>
      </c>
      <c r="F255" s="90">
        <v>2</v>
      </c>
      <c r="G255" s="90">
        <v>7</v>
      </c>
      <c r="H255" s="90"/>
      <c r="I255" s="164">
        <v>21.5</v>
      </c>
      <c r="J255" s="199">
        <v>0.7</v>
      </c>
      <c r="K255" s="90">
        <v>20</v>
      </c>
      <c r="L255" s="89">
        <v>670</v>
      </c>
      <c r="M255" s="89"/>
      <c r="N255" s="164">
        <v>21.4</v>
      </c>
      <c r="O255" s="199">
        <v>1</v>
      </c>
      <c r="P255" s="90">
        <v>25</v>
      </c>
      <c r="Q255" s="90"/>
      <c r="R255" s="157">
        <f t="shared" si="86"/>
        <v>-0.1158568892727001</v>
      </c>
      <c r="S255" s="90">
        <v>-1</v>
      </c>
      <c r="T255" s="174">
        <f t="shared" si="87"/>
        <v>0.11361794015659749</v>
      </c>
      <c r="U255" s="174">
        <f t="shared" si="88"/>
        <v>0.1116246429608677</v>
      </c>
      <c r="V255" s="174">
        <f t="shared" si="89"/>
        <v>9.8245614035089107E-2</v>
      </c>
      <c r="X255" s="90">
        <v>2</v>
      </c>
      <c r="Y255" s="90" t="s">
        <v>31</v>
      </c>
      <c r="Z255" s="88" t="s">
        <v>32</v>
      </c>
      <c r="AA255" s="90" t="s">
        <v>31</v>
      </c>
    </row>
    <row r="256" spans="1:27" ht="18.75" customHeight="1" x14ac:dyDescent="0.2">
      <c r="A256" s="90" t="s">
        <v>383</v>
      </c>
      <c r="B256" s="90" t="s">
        <v>397</v>
      </c>
      <c r="C256" s="88">
        <v>2020</v>
      </c>
      <c r="D256" s="152" t="s">
        <v>399</v>
      </c>
      <c r="E256" s="90" t="s">
        <v>400</v>
      </c>
      <c r="F256" s="90">
        <v>2</v>
      </c>
      <c r="G256" s="90">
        <v>8</v>
      </c>
      <c r="H256" s="90"/>
      <c r="I256" s="164">
        <v>2.8</v>
      </c>
      <c r="J256" s="199">
        <v>1.1000000000000001</v>
      </c>
      <c r="K256" s="90">
        <v>20</v>
      </c>
      <c r="L256" s="89">
        <v>670</v>
      </c>
      <c r="M256" s="89"/>
      <c r="N256" s="164">
        <v>2.2000000000000002</v>
      </c>
      <c r="O256" s="199">
        <v>0.7</v>
      </c>
      <c r="P256" s="90">
        <v>25</v>
      </c>
      <c r="Q256" s="90"/>
      <c r="R256" s="157">
        <f t="shared" si="86"/>
        <v>-0.65079137345596816</v>
      </c>
      <c r="S256" s="90">
        <v>1</v>
      </c>
      <c r="T256" s="174">
        <f t="shared" si="87"/>
        <v>-0.6674336116043903</v>
      </c>
      <c r="U256" s="174">
        <f t="shared" si="88"/>
        <v>-0.65572424999729573</v>
      </c>
      <c r="V256" s="174">
        <f t="shared" si="89"/>
        <v>-0.84210526315789425</v>
      </c>
      <c r="X256" s="90">
        <v>2</v>
      </c>
      <c r="Y256" s="90" t="s">
        <v>31</v>
      </c>
      <c r="Z256" s="88" t="s">
        <v>32</v>
      </c>
      <c r="AA256" s="90" t="s">
        <v>31</v>
      </c>
    </row>
    <row r="257" spans="1:27" ht="18.75" customHeight="1" x14ac:dyDescent="0.2">
      <c r="A257" s="90" t="s">
        <v>383</v>
      </c>
      <c r="B257" s="90" t="s">
        <v>397</v>
      </c>
      <c r="C257" s="88">
        <v>2020</v>
      </c>
      <c r="D257" s="152" t="s">
        <v>401</v>
      </c>
      <c r="E257" s="90" t="s">
        <v>401</v>
      </c>
      <c r="F257" s="90">
        <v>2</v>
      </c>
      <c r="G257" s="90">
        <v>9</v>
      </c>
      <c r="H257" s="90"/>
      <c r="I257" s="164">
        <v>18.5</v>
      </c>
      <c r="J257" s="199">
        <v>2</v>
      </c>
      <c r="K257" s="90">
        <v>20</v>
      </c>
      <c r="L257" s="89">
        <v>670</v>
      </c>
      <c r="M257" s="89"/>
      <c r="N257" s="164">
        <v>18.2</v>
      </c>
      <c r="O257" s="199">
        <v>2</v>
      </c>
      <c r="P257" s="90">
        <v>25</v>
      </c>
      <c r="Q257" s="90"/>
      <c r="R257" s="157">
        <f t="shared" si="86"/>
        <v>-0.15000000000000036</v>
      </c>
      <c r="S257" s="90">
        <v>-1</v>
      </c>
      <c r="T257" s="174">
        <f t="shared" si="87"/>
        <v>0.15000000000000036</v>
      </c>
      <c r="U257" s="174">
        <f t="shared" si="88"/>
        <v>0.14736842105263193</v>
      </c>
      <c r="V257" s="174">
        <f t="shared" si="89"/>
        <v>0.14736842105263193</v>
      </c>
      <c r="X257" s="90">
        <v>2</v>
      </c>
      <c r="Y257" s="90" t="s">
        <v>31</v>
      </c>
      <c r="Z257" s="88" t="s">
        <v>32</v>
      </c>
      <c r="AA257" s="90" t="s">
        <v>31</v>
      </c>
    </row>
    <row r="258" spans="1:27" ht="18.75" customHeight="1" x14ac:dyDescent="0.2">
      <c r="A258" s="90" t="s">
        <v>383</v>
      </c>
      <c r="B258" s="90" t="s">
        <v>397</v>
      </c>
      <c r="C258" s="88">
        <v>2020</v>
      </c>
      <c r="D258" s="152" t="s">
        <v>402</v>
      </c>
      <c r="E258" s="90" t="s">
        <v>403</v>
      </c>
      <c r="F258" s="90">
        <v>2</v>
      </c>
      <c r="G258" s="90">
        <v>10</v>
      </c>
      <c r="H258" s="90"/>
      <c r="I258" s="164">
        <v>5.6</v>
      </c>
      <c r="J258" s="199">
        <v>1.2</v>
      </c>
      <c r="K258" s="90">
        <v>20</v>
      </c>
      <c r="L258" s="89">
        <v>670</v>
      </c>
      <c r="M258" s="89"/>
      <c r="N258" s="164">
        <v>4.7</v>
      </c>
      <c r="O258" s="199">
        <v>1.3</v>
      </c>
      <c r="P258" s="90">
        <v>25</v>
      </c>
      <c r="Q258" s="90"/>
      <c r="R258" s="157">
        <f t="shared" si="86"/>
        <v>-0.71942469027968792</v>
      </c>
      <c r="S258" s="90">
        <v>1</v>
      </c>
      <c r="T258" s="174">
        <f t="shared" si="87"/>
        <v>-0.71610696636686288</v>
      </c>
      <c r="U258" s="174">
        <f t="shared" si="88"/>
        <v>-0.7035436862551635</v>
      </c>
      <c r="V258" s="174">
        <f t="shared" si="89"/>
        <v>-0.68016194331983759</v>
      </c>
      <c r="X258" s="90">
        <v>2</v>
      </c>
      <c r="Y258" s="90" t="s">
        <v>31</v>
      </c>
      <c r="Z258" s="88" t="s">
        <v>32</v>
      </c>
      <c r="AA258" s="90" t="s">
        <v>31</v>
      </c>
    </row>
    <row r="259" spans="1:27" ht="18.75" customHeight="1" x14ac:dyDescent="0.2">
      <c r="A259" s="90" t="s">
        <v>383</v>
      </c>
      <c r="B259" s="90" t="s">
        <v>397</v>
      </c>
      <c r="C259" s="88">
        <v>2020</v>
      </c>
      <c r="D259" s="152" t="s">
        <v>404</v>
      </c>
      <c r="E259" s="90" t="s">
        <v>404</v>
      </c>
      <c r="F259" s="90">
        <v>2</v>
      </c>
      <c r="G259" s="90">
        <v>11</v>
      </c>
      <c r="H259" s="90"/>
      <c r="I259" s="164">
        <v>23.1</v>
      </c>
      <c r="J259" s="199">
        <v>2.9</v>
      </c>
      <c r="K259" s="90">
        <v>20</v>
      </c>
      <c r="L259" s="89">
        <v>670</v>
      </c>
      <c r="M259" s="89"/>
      <c r="N259" s="164">
        <v>22.6</v>
      </c>
      <c r="O259" s="199">
        <v>4.8</v>
      </c>
      <c r="P259" s="90">
        <v>25</v>
      </c>
      <c r="Q259" s="90"/>
      <c r="R259" s="157">
        <f t="shared" si="86"/>
        <v>-0.12608826746517235</v>
      </c>
      <c r="S259" s="90">
        <v>-1</v>
      </c>
      <c r="T259" s="174">
        <f t="shared" si="87"/>
        <v>0.12281053382556326</v>
      </c>
      <c r="U259" s="174">
        <f t="shared" si="88"/>
        <v>0.12065596305669372</v>
      </c>
      <c r="V259" s="174">
        <f t="shared" si="89"/>
        <v>0.1023391812865497</v>
      </c>
      <c r="X259" s="90">
        <v>2</v>
      </c>
      <c r="Y259" s="90" t="s">
        <v>31</v>
      </c>
      <c r="Z259" s="88" t="s">
        <v>32</v>
      </c>
      <c r="AA259" s="90" t="s">
        <v>31</v>
      </c>
    </row>
    <row r="260" spans="1:27" ht="18.75" customHeight="1" x14ac:dyDescent="0.2">
      <c r="A260" s="90" t="s">
        <v>383</v>
      </c>
      <c r="B260" s="90" t="s">
        <v>397</v>
      </c>
      <c r="C260" s="88">
        <v>2020</v>
      </c>
      <c r="D260" s="152" t="s">
        <v>405</v>
      </c>
      <c r="E260" s="90" t="s">
        <v>406</v>
      </c>
      <c r="F260" s="90">
        <v>2</v>
      </c>
      <c r="G260" s="90">
        <v>12</v>
      </c>
      <c r="H260" s="90"/>
      <c r="I260" s="164">
        <v>5.5</v>
      </c>
      <c r="J260" s="199">
        <v>2</v>
      </c>
      <c r="K260" s="90">
        <v>20</v>
      </c>
      <c r="L260" s="89">
        <v>670</v>
      </c>
      <c r="M260" s="89"/>
      <c r="N260" s="164">
        <v>4.5</v>
      </c>
      <c r="O260" s="199">
        <v>1.9</v>
      </c>
      <c r="P260" s="90">
        <v>25</v>
      </c>
      <c r="Q260" s="90"/>
      <c r="R260" s="157">
        <f t="shared" si="86"/>
        <v>-0.51265201585101605</v>
      </c>
      <c r="S260" s="90">
        <v>1</v>
      </c>
      <c r="T260" s="174">
        <f t="shared" si="87"/>
        <v>-0.51418635194385709</v>
      </c>
      <c r="U260" s="174">
        <f t="shared" si="88"/>
        <v>-0.50516553875185954</v>
      </c>
      <c r="V260" s="174">
        <f t="shared" si="89"/>
        <v>-0.51708217913204058</v>
      </c>
      <c r="X260" s="90">
        <v>2</v>
      </c>
      <c r="Y260" s="90" t="s">
        <v>31</v>
      </c>
      <c r="Z260" s="88" t="s">
        <v>32</v>
      </c>
      <c r="AA260" s="90" t="s">
        <v>31</v>
      </c>
    </row>
    <row r="261" spans="1:27" ht="18.75" customHeight="1" x14ac:dyDescent="0.2">
      <c r="A261" s="90" t="s">
        <v>383</v>
      </c>
      <c r="B261" s="90" t="s">
        <v>76</v>
      </c>
      <c r="C261" s="88">
        <v>1996</v>
      </c>
      <c r="D261" s="152" t="s">
        <v>407</v>
      </c>
      <c r="E261" s="90" t="s">
        <v>408</v>
      </c>
      <c r="F261" s="90">
        <v>3</v>
      </c>
      <c r="G261" s="90">
        <v>14</v>
      </c>
      <c r="H261" s="90"/>
      <c r="I261" s="163">
        <v>9.6</v>
      </c>
      <c r="J261" s="155">
        <v>2.0699999999999998</v>
      </c>
      <c r="K261" s="88">
        <v>11</v>
      </c>
      <c r="L261" s="165">
        <v>1545</v>
      </c>
      <c r="M261" s="165"/>
      <c r="N261" s="163">
        <v>11.86</v>
      </c>
      <c r="O261" s="155">
        <v>2.75</v>
      </c>
      <c r="P261" s="88">
        <v>22</v>
      </c>
      <c r="Q261" s="90"/>
      <c r="R261" s="157">
        <f t="shared" si="86"/>
        <v>0.92856414730511871</v>
      </c>
      <c r="S261" s="90">
        <v>-1</v>
      </c>
      <c r="T261" s="174">
        <f t="shared" si="87"/>
        <v>-0.8860899063645552</v>
      </c>
      <c r="U261" s="174">
        <f t="shared" si="88"/>
        <v>-0.86447795742883438</v>
      </c>
      <c r="V261" s="174">
        <f t="shared" si="89"/>
        <v>-0.80177383592017737</v>
      </c>
      <c r="X261" s="334" t="s">
        <v>75</v>
      </c>
      <c r="Y261" s="334" t="s">
        <v>75</v>
      </c>
      <c r="Z261" s="88" t="s">
        <v>44</v>
      </c>
      <c r="AA261" s="334" t="s">
        <v>75</v>
      </c>
    </row>
    <row r="262" spans="1:27" ht="18.75" customHeight="1" x14ac:dyDescent="0.2">
      <c r="A262" s="90" t="s">
        <v>383</v>
      </c>
      <c r="B262" s="90" t="s">
        <v>76</v>
      </c>
      <c r="C262" s="88">
        <v>1996</v>
      </c>
      <c r="D262" s="152" t="s">
        <v>409</v>
      </c>
      <c r="E262" s="90" t="s">
        <v>410</v>
      </c>
      <c r="F262" s="90">
        <v>3</v>
      </c>
      <c r="G262" s="90">
        <v>16</v>
      </c>
      <c r="H262" s="90"/>
      <c r="I262" s="163">
        <v>24.5</v>
      </c>
      <c r="J262" s="155">
        <v>4.1399999999999997</v>
      </c>
      <c r="K262" s="88">
        <v>11</v>
      </c>
      <c r="L262" s="165">
        <v>1545</v>
      </c>
      <c r="M262" s="165"/>
      <c r="N262" s="163">
        <v>27.95</v>
      </c>
      <c r="O262" s="155">
        <v>4.47</v>
      </c>
      <c r="P262" s="88">
        <v>22</v>
      </c>
      <c r="Q262" s="90"/>
      <c r="R262" s="157">
        <f t="shared" si="86"/>
        <v>0.80080575254898934</v>
      </c>
      <c r="S262" s="90">
        <v>-1</v>
      </c>
      <c r="T262" s="174">
        <f t="shared" si="87"/>
        <v>-0.79014732728204173</v>
      </c>
      <c r="U262" s="174">
        <f t="shared" si="88"/>
        <v>-0.77087544125077245</v>
      </c>
      <c r="V262" s="174">
        <f t="shared" si="89"/>
        <v>-0.75298739564576844</v>
      </c>
      <c r="X262" s="334" t="s">
        <v>75</v>
      </c>
      <c r="Y262" s="334" t="s">
        <v>75</v>
      </c>
      <c r="Z262" s="88" t="s">
        <v>44</v>
      </c>
      <c r="AA262" s="334" t="s">
        <v>75</v>
      </c>
    </row>
    <row r="263" spans="1:27" ht="18.75" customHeight="1" x14ac:dyDescent="0.2">
      <c r="A263" s="90" t="s">
        <v>383</v>
      </c>
      <c r="B263" s="90" t="s">
        <v>73</v>
      </c>
      <c r="C263" s="88">
        <v>1996</v>
      </c>
      <c r="D263" s="152" t="s">
        <v>407</v>
      </c>
      <c r="E263" s="90" t="s">
        <v>408</v>
      </c>
      <c r="F263" s="90">
        <v>4</v>
      </c>
      <c r="G263" s="90">
        <v>13</v>
      </c>
      <c r="H263" s="90"/>
      <c r="I263" s="163">
        <v>10.4</v>
      </c>
      <c r="J263" s="155">
        <v>3.59</v>
      </c>
      <c r="K263" s="88">
        <v>11</v>
      </c>
      <c r="L263" s="165">
        <v>566</v>
      </c>
      <c r="M263" s="165"/>
      <c r="N263" s="163">
        <v>11.86</v>
      </c>
      <c r="O263" s="155">
        <v>2.75</v>
      </c>
      <c r="P263" s="88">
        <v>22</v>
      </c>
      <c r="Q263" s="90"/>
      <c r="R263" s="157">
        <f t="shared" si="86"/>
        <v>0.45657783714230354</v>
      </c>
      <c r="S263" s="90">
        <v>-1</v>
      </c>
      <c r="T263" s="174">
        <f t="shared" si="87"/>
        <v>-0.47925723498392397</v>
      </c>
      <c r="U263" s="174">
        <f t="shared" si="88"/>
        <v>-0.46756803413065751</v>
      </c>
      <c r="V263" s="174">
        <f t="shared" si="89"/>
        <v>-0.51796008869179566</v>
      </c>
      <c r="X263" s="334" t="s">
        <v>75</v>
      </c>
      <c r="Y263" s="334" t="s">
        <v>75</v>
      </c>
      <c r="Z263" s="88" t="s">
        <v>44</v>
      </c>
      <c r="AA263" s="334" t="s">
        <v>75</v>
      </c>
    </row>
    <row r="264" spans="1:27" ht="18.75" customHeight="1" x14ac:dyDescent="0.2">
      <c r="A264" s="90" t="s">
        <v>383</v>
      </c>
      <c r="B264" s="90" t="s">
        <v>73</v>
      </c>
      <c r="C264" s="88">
        <v>1996</v>
      </c>
      <c r="D264" s="152" t="s">
        <v>409</v>
      </c>
      <c r="E264" s="90" t="s">
        <v>410</v>
      </c>
      <c r="F264" s="90">
        <v>4</v>
      </c>
      <c r="G264" s="90">
        <v>15</v>
      </c>
      <c r="H264" s="90"/>
      <c r="I264" s="163">
        <v>24.8</v>
      </c>
      <c r="J264" s="155">
        <v>4.47</v>
      </c>
      <c r="K264" s="88">
        <v>11</v>
      </c>
      <c r="L264" s="165">
        <v>566</v>
      </c>
      <c r="M264" s="165"/>
      <c r="N264" s="163">
        <v>27.95</v>
      </c>
      <c r="O264" s="155">
        <v>4.47</v>
      </c>
      <c r="P264" s="88">
        <v>22</v>
      </c>
      <c r="Q264" s="90"/>
      <c r="R264" s="157">
        <f t="shared" si="86"/>
        <v>0.70469798657718097</v>
      </c>
      <c r="S264" s="90">
        <v>-1</v>
      </c>
      <c r="T264" s="174">
        <f t="shared" si="87"/>
        <v>-0.70469798657718097</v>
      </c>
      <c r="U264" s="174">
        <f t="shared" si="88"/>
        <v>-0.6875102308070058</v>
      </c>
      <c r="V264" s="174">
        <f t="shared" si="89"/>
        <v>-0.6875102308070058</v>
      </c>
      <c r="X264" s="334" t="s">
        <v>75</v>
      </c>
      <c r="Y264" s="334" t="s">
        <v>75</v>
      </c>
      <c r="Z264" s="88" t="s">
        <v>44</v>
      </c>
      <c r="AA264" s="334" t="s">
        <v>75</v>
      </c>
    </row>
    <row r="265" spans="1:27" ht="18.75" customHeight="1" x14ac:dyDescent="0.2">
      <c r="A265" s="90"/>
      <c r="B265" s="90"/>
      <c r="D265" s="152"/>
      <c r="F265" s="173">
        <v>4</v>
      </c>
      <c r="G265" s="173">
        <v>15</v>
      </c>
      <c r="H265" s="173"/>
      <c r="I265" s="164"/>
      <c r="J265" s="155">
        <f>AVERAGE(J249:J264)</f>
        <v>30.860624999999999</v>
      </c>
      <c r="K265" s="337">
        <f>SUM(K260,K254,K261,K263)</f>
        <v>98</v>
      </c>
      <c r="L265" s="338">
        <f>AVERAGE(L260,L254,L261,L263)</f>
        <v>859.5</v>
      </c>
      <c r="M265" s="338"/>
      <c r="N265" s="163"/>
      <c r="O265" s="155">
        <f>AVERAGE(O249:O264)</f>
        <v>26.140000000000004</v>
      </c>
      <c r="P265" s="337">
        <f>SUM(P260,P254,P261,P263)</f>
        <v>122</v>
      </c>
      <c r="Q265" s="90"/>
      <c r="R265" s="157"/>
      <c r="S265" s="90"/>
      <c r="T265" s="189">
        <f>AVERAGE(T249:T264)</f>
        <v>-0.42470530429901288</v>
      </c>
      <c r="U265" s="189">
        <f t="shared" ref="U265:V265" si="90">AVERAGE(U249:U264)</f>
        <v>-0.41762381698965345</v>
      </c>
      <c r="V265" s="189">
        <f t="shared" si="90"/>
        <v>-0.4393571884596823</v>
      </c>
      <c r="AA265" s="90"/>
    </row>
    <row r="266" spans="1:27" ht="18.75" customHeight="1" x14ac:dyDescent="0.2">
      <c r="A266" s="90"/>
      <c r="B266" s="90"/>
      <c r="D266" s="152"/>
      <c r="F266" s="173"/>
      <c r="G266" s="173"/>
      <c r="H266" s="173"/>
      <c r="I266" s="164"/>
      <c r="J266" s="155"/>
      <c r="K266" s="337"/>
      <c r="L266" s="338"/>
      <c r="M266" s="338"/>
      <c r="N266" s="163"/>
      <c r="O266" s="155"/>
      <c r="P266" s="337"/>
      <c r="Q266" s="90"/>
      <c r="R266" s="157"/>
      <c r="S266" s="90"/>
      <c r="T266" s="197">
        <f>STDEV(T249:T264)</f>
        <v>0.31944794968425816</v>
      </c>
      <c r="U266" s="197">
        <f t="shared" ref="U266:V266" si="91">STDEV(U249:U264)</f>
        <v>0.31249951189225317</v>
      </c>
      <c r="V266" s="197">
        <f t="shared" si="91"/>
        <v>0.31383985271972686</v>
      </c>
      <c r="AA266" s="90"/>
    </row>
    <row r="267" spans="1:27" ht="31.5" customHeight="1" x14ac:dyDescent="0.2">
      <c r="A267" s="90" t="s">
        <v>411</v>
      </c>
      <c r="B267" s="90"/>
      <c r="D267" s="152"/>
      <c r="F267" s="90"/>
      <c r="G267" s="90"/>
      <c r="H267" s="90"/>
      <c r="I267" s="164"/>
      <c r="J267" s="199"/>
      <c r="K267" s="90"/>
      <c r="L267" s="89"/>
      <c r="M267" s="89"/>
      <c r="N267" s="164"/>
      <c r="O267" s="199"/>
      <c r="P267" s="90"/>
      <c r="Q267" s="90"/>
      <c r="R267" s="157"/>
      <c r="S267" s="90"/>
      <c r="AA267" s="90"/>
    </row>
    <row r="268" spans="1:27" ht="18.75" customHeight="1" x14ac:dyDescent="0.2">
      <c r="A268" s="88" t="s">
        <v>412</v>
      </c>
      <c r="B268" s="90" t="s">
        <v>563</v>
      </c>
      <c r="C268" s="88">
        <v>2022</v>
      </c>
      <c r="D268" s="152" t="s">
        <v>571</v>
      </c>
      <c r="E268" s="259" t="s">
        <v>572</v>
      </c>
      <c r="F268" s="90">
        <v>1</v>
      </c>
      <c r="G268" s="90">
        <v>1</v>
      </c>
      <c r="H268" s="90"/>
      <c r="I268" s="164">
        <v>97</v>
      </c>
      <c r="J268" s="155">
        <v>11.9</v>
      </c>
      <c r="K268" s="88">
        <v>20</v>
      </c>
      <c r="L268" s="89">
        <v>702.3</v>
      </c>
      <c r="M268" s="89"/>
      <c r="N268" s="163">
        <v>105.1</v>
      </c>
      <c r="O268" s="155">
        <v>13.7</v>
      </c>
      <c r="P268" s="88">
        <v>40</v>
      </c>
      <c r="Q268" s="90"/>
      <c r="R268" s="157">
        <f t="shared" ref="R268:R286" si="92">(N268-I268)/SQRT((O268^2+J268^2)/2)</f>
        <v>0.63125401202298137</v>
      </c>
      <c r="S268" s="90">
        <v>-1</v>
      </c>
      <c r="T268" s="174">
        <f t="shared" ref="T268:T286" si="93">(N268-I268)/SQRT((((P268-1)*O268^2) + ((K268-1)*J268^2))/(P268+K268-2))*S268</f>
        <v>-0.61655401564103551</v>
      </c>
      <c r="U268" s="174">
        <f t="shared" ref="U268:U286" si="94">T268*(1-(3/(4*(K268+P268-2) -1)))</f>
        <v>-0.60854682063271037</v>
      </c>
      <c r="V268" s="174">
        <f t="shared" ref="V268:V286" si="95">((N268-I268)/O268)*S268 * (1-(3/(4*(K268+P268-2)-1)))</f>
        <v>-0.58356242297848093</v>
      </c>
      <c r="W268" s="343">
        <f>V286-(V288*2.5)</f>
        <v>-2.0774043835857539</v>
      </c>
      <c r="X268" s="90">
        <v>1</v>
      </c>
    </row>
    <row r="269" spans="1:27" ht="18.75" customHeight="1" x14ac:dyDescent="0.2">
      <c r="A269" s="88" t="s">
        <v>412</v>
      </c>
      <c r="B269" s="90" t="s">
        <v>147</v>
      </c>
      <c r="C269" s="88">
        <v>1997</v>
      </c>
      <c r="D269" s="152" t="s">
        <v>413</v>
      </c>
      <c r="E269" s="90" t="s">
        <v>414</v>
      </c>
      <c r="F269" s="88">
        <v>2</v>
      </c>
      <c r="G269" s="90">
        <v>2</v>
      </c>
      <c r="I269" s="163">
        <v>104.5</v>
      </c>
      <c r="J269" s="155">
        <v>10.46</v>
      </c>
      <c r="K269" s="88">
        <v>8</v>
      </c>
      <c r="L269" s="154">
        <v>870</v>
      </c>
      <c r="M269" s="154"/>
      <c r="N269" s="163">
        <v>104.5</v>
      </c>
      <c r="O269" s="155">
        <v>11.31</v>
      </c>
      <c r="P269" s="88">
        <v>15</v>
      </c>
      <c r="R269" s="157">
        <f t="shared" si="92"/>
        <v>0</v>
      </c>
      <c r="S269" s="88">
        <v>-1</v>
      </c>
      <c r="T269" s="174">
        <f t="shared" si="93"/>
        <v>0</v>
      </c>
      <c r="U269" s="174">
        <f t="shared" si="94"/>
        <v>0</v>
      </c>
      <c r="V269" s="174">
        <f t="shared" si="95"/>
        <v>0</v>
      </c>
      <c r="X269" s="88">
        <v>4</v>
      </c>
      <c r="Y269" s="88" t="s">
        <v>81</v>
      </c>
      <c r="Z269" s="90" t="s">
        <v>151</v>
      </c>
      <c r="AA269" s="88" t="s">
        <v>81</v>
      </c>
    </row>
    <row r="270" spans="1:27" ht="18.75" customHeight="1" x14ac:dyDescent="0.2">
      <c r="A270" s="88" t="s">
        <v>415</v>
      </c>
      <c r="B270" s="88" t="s">
        <v>28</v>
      </c>
      <c r="C270" s="88">
        <v>2004</v>
      </c>
      <c r="D270" s="152" t="s">
        <v>416</v>
      </c>
      <c r="E270" s="90" t="s">
        <v>416</v>
      </c>
      <c r="F270" s="88">
        <v>3</v>
      </c>
      <c r="G270" s="90">
        <v>3</v>
      </c>
      <c r="I270" s="163">
        <v>112.3</v>
      </c>
      <c r="J270" s="155">
        <v>9.68</v>
      </c>
      <c r="K270" s="88">
        <v>20</v>
      </c>
      <c r="L270" s="154">
        <v>859</v>
      </c>
      <c r="M270" s="154"/>
      <c r="N270" s="163">
        <v>114.65</v>
      </c>
      <c r="O270" s="155">
        <v>10.43</v>
      </c>
      <c r="P270" s="88">
        <v>20</v>
      </c>
      <c r="R270" s="157">
        <f t="shared" si="92"/>
        <v>0.23355220150051281</v>
      </c>
      <c r="S270" s="88">
        <v>-1</v>
      </c>
      <c r="T270" s="174">
        <f t="shared" si="93"/>
        <v>-0.23355220150051281</v>
      </c>
      <c r="U270" s="174">
        <f t="shared" si="94"/>
        <v>-0.22891209153692646</v>
      </c>
      <c r="V270" s="174">
        <f t="shared" si="95"/>
        <v>-0.22083521172369647</v>
      </c>
      <c r="X270" s="88">
        <v>2</v>
      </c>
      <c r="Y270" s="88" t="s">
        <v>31</v>
      </c>
      <c r="Z270" s="90" t="s">
        <v>32</v>
      </c>
      <c r="AA270" s="88" t="s">
        <v>31</v>
      </c>
    </row>
    <row r="271" spans="1:27" ht="18.75" customHeight="1" x14ac:dyDescent="0.2">
      <c r="A271" s="88" t="s">
        <v>415</v>
      </c>
      <c r="B271" s="88" t="s">
        <v>28</v>
      </c>
      <c r="C271" s="88">
        <v>2004</v>
      </c>
      <c r="D271" s="152" t="s">
        <v>417</v>
      </c>
      <c r="E271" s="90" t="s">
        <v>417</v>
      </c>
      <c r="F271" s="88">
        <v>3</v>
      </c>
      <c r="G271" s="90">
        <v>4</v>
      </c>
      <c r="I271" s="163">
        <v>108.55</v>
      </c>
      <c r="J271" s="155">
        <v>9.4700000000000006</v>
      </c>
      <c r="K271" s="88">
        <v>20</v>
      </c>
      <c r="L271" s="154">
        <v>859</v>
      </c>
      <c r="M271" s="154"/>
      <c r="N271" s="163">
        <v>107.2</v>
      </c>
      <c r="O271" s="155">
        <v>10.84</v>
      </c>
      <c r="P271" s="88">
        <v>20</v>
      </c>
      <c r="R271" s="157">
        <f t="shared" si="92"/>
        <v>-0.13263802280519524</v>
      </c>
      <c r="S271" s="88">
        <v>-1</v>
      </c>
      <c r="T271" s="174">
        <f t="shared" si="93"/>
        <v>0.13263802280519524</v>
      </c>
      <c r="U271" s="174">
        <f t="shared" si="94"/>
        <v>0.13000283029913176</v>
      </c>
      <c r="V271" s="174">
        <f t="shared" si="95"/>
        <v>0.12206446567776885</v>
      </c>
      <c r="X271" s="88">
        <v>2</v>
      </c>
      <c r="Y271" s="88" t="s">
        <v>31</v>
      </c>
      <c r="Z271" s="90" t="s">
        <v>32</v>
      </c>
      <c r="AA271" s="88" t="s">
        <v>31</v>
      </c>
    </row>
    <row r="272" spans="1:27" ht="18.75" customHeight="1" x14ac:dyDescent="0.2">
      <c r="A272" s="88" t="s">
        <v>415</v>
      </c>
      <c r="B272" s="88" t="s">
        <v>33</v>
      </c>
      <c r="C272" s="88">
        <v>2005</v>
      </c>
      <c r="D272" s="152" t="s">
        <v>418</v>
      </c>
      <c r="E272" s="90" t="s">
        <v>419</v>
      </c>
      <c r="F272" s="88">
        <v>3</v>
      </c>
      <c r="G272" s="90">
        <v>5</v>
      </c>
      <c r="I272" s="163">
        <v>107.04</v>
      </c>
      <c r="J272" s="155">
        <v>12.01</v>
      </c>
      <c r="K272" s="88">
        <v>25</v>
      </c>
      <c r="L272" s="154">
        <v>759</v>
      </c>
      <c r="M272" s="154"/>
      <c r="N272" s="163">
        <v>107.28</v>
      </c>
      <c r="O272" s="155">
        <v>10.35</v>
      </c>
      <c r="P272" s="88">
        <v>25</v>
      </c>
      <c r="R272" s="157">
        <f t="shared" si="92"/>
        <v>2.1407990807067737E-2</v>
      </c>
      <c r="S272" s="88">
        <v>-1</v>
      </c>
      <c r="T272" s="174">
        <f t="shared" si="93"/>
        <v>-2.1407990807067737E-2</v>
      </c>
      <c r="U272" s="174">
        <f t="shared" si="94"/>
        <v>-2.1071739642558821E-2</v>
      </c>
      <c r="V272" s="174">
        <f t="shared" si="95"/>
        <v>-2.2824189999240733E-2</v>
      </c>
      <c r="X272" s="88">
        <v>2</v>
      </c>
      <c r="Y272" s="88" t="s">
        <v>31</v>
      </c>
      <c r="Z272" s="90" t="s">
        <v>32</v>
      </c>
      <c r="AA272" s="88" t="s">
        <v>31</v>
      </c>
    </row>
    <row r="273" spans="1:29" ht="18.75" customHeight="1" x14ac:dyDescent="0.2">
      <c r="A273" s="88" t="s">
        <v>412</v>
      </c>
      <c r="B273" s="88" t="s">
        <v>38</v>
      </c>
      <c r="C273" s="88">
        <v>2007</v>
      </c>
      <c r="D273" s="152" t="s">
        <v>420</v>
      </c>
      <c r="E273" s="90" t="s">
        <v>421</v>
      </c>
      <c r="F273" s="88">
        <v>3</v>
      </c>
      <c r="G273" s="90">
        <v>6</v>
      </c>
      <c r="I273" s="163">
        <v>101.48</v>
      </c>
      <c r="J273" s="155">
        <v>14.6</v>
      </c>
      <c r="K273" s="88">
        <v>25</v>
      </c>
      <c r="L273" s="154">
        <v>1286</v>
      </c>
      <c r="M273" s="154"/>
      <c r="N273" s="163">
        <v>106.98</v>
      </c>
      <c r="O273" s="155">
        <v>8.9</v>
      </c>
      <c r="P273" s="88">
        <v>45</v>
      </c>
      <c r="R273" s="157">
        <f t="shared" si="92"/>
        <v>0.45489512586732106</v>
      </c>
      <c r="S273" s="88">
        <v>-1</v>
      </c>
      <c r="T273" s="174">
        <f t="shared" si="93"/>
        <v>-0.48903579926812474</v>
      </c>
      <c r="U273" s="174">
        <f t="shared" si="94"/>
        <v>-0.48362211883342227</v>
      </c>
      <c r="V273" s="174">
        <f t="shared" si="95"/>
        <v>-0.61113644844313608</v>
      </c>
      <c r="X273" s="88">
        <v>2</v>
      </c>
      <c r="Y273" s="88" t="s">
        <v>31</v>
      </c>
      <c r="Z273" s="90" t="s">
        <v>32</v>
      </c>
      <c r="AA273" s="88" t="s">
        <v>31</v>
      </c>
    </row>
    <row r="274" spans="1:29" ht="18.75" customHeight="1" x14ac:dyDescent="0.2">
      <c r="A274" s="88" t="s">
        <v>412</v>
      </c>
      <c r="B274" s="88" t="s">
        <v>127</v>
      </c>
      <c r="C274" s="88">
        <v>2018</v>
      </c>
      <c r="D274" s="152" t="s">
        <v>422</v>
      </c>
      <c r="E274" s="90" t="s">
        <v>422</v>
      </c>
      <c r="F274" s="88">
        <v>4</v>
      </c>
      <c r="G274" s="90">
        <v>7</v>
      </c>
      <c r="I274" s="163">
        <v>103</v>
      </c>
      <c r="J274" s="155">
        <v>13.9</v>
      </c>
      <c r="K274" s="88">
        <v>38</v>
      </c>
      <c r="L274" s="154">
        <v>751</v>
      </c>
      <c r="M274" s="154"/>
      <c r="N274" s="163">
        <v>113.9</v>
      </c>
      <c r="O274" s="155">
        <v>9.6999999999999993</v>
      </c>
      <c r="P274" s="88">
        <v>39</v>
      </c>
      <c r="R274" s="157">
        <f t="shared" si="92"/>
        <v>0.90943922700898217</v>
      </c>
      <c r="S274" s="88">
        <v>-1</v>
      </c>
      <c r="T274" s="174">
        <f t="shared" si="93"/>
        <v>-0.91153821328041384</v>
      </c>
      <c r="U274" s="174">
        <f t="shared" si="94"/>
        <v>-0.90239234491974085</v>
      </c>
      <c r="V274" s="174">
        <f t="shared" si="95"/>
        <v>-1.112436644485054</v>
      </c>
      <c r="X274" s="88">
        <v>1</v>
      </c>
      <c r="Y274" s="88" t="s">
        <v>63</v>
      </c>
      <c r="Z274" s="90" t="s">
        <v>32</v>
      </c>
      <c r="AA274" s="88" t="s">
        <v>48</v>
      </c>
    </row>
    <row r="275" spans="1:29" ht="18.75" customHeight="1" x14ac:dyDescent="0.2">
      <c r="A275" s="88" t="s">
        <v>412</v>
      </c>
      <c r="B275" s="88" t="s">
        <v>159</v>
      </c>
      <c r="C275" s="88">
        <v>2017</v>
      </c>
      <c r="D275" s="152" t="s">
        <v>423</v>
      </c>
      <c r="E275" s="90" t="s">
        <v>424</v>
      </c>
      <c r="F275" s="88">
        <v>5</v>
      </c>
      <c r="G275" s="90">
        <v>8</v>
      </c>
      <c r="I275" s="163">
        <v>100</v>
      </c>
      <c r="J275" s="155">
        <v>12</v>
      </c>
      <c r="K275" s="88">
        <v>57</v>
      </c>
      <c r="L275" s="154">
        <v>655</v>
      </c>
      <c r="M275" s="154"/>
      <c r="N275" s="163">
        <v>108</v>
      </c>
      <c r="O275" s="155">
        <v>11</v>
      </c>
      <c r="P275" s="88">
        <v>57</v>
      </c>
      <c r="R275" s="157">
        <f t="shared" si="92"/>
        <v>0.69499558842091103</v>
      </c>
      <c r="S275" s="88">
        <v>-1</v>
      </c>
      <c r="T275" s="174">
        <f t="shared" si="93"/>
        <v>-0.69499558842091103</v>
      </c>
      <c r="U275" s="174">
        <f t="shared" si="94"/>
        <v>-0.69033118849862307</v>
      </c>
      <c r="V275" s="174">
        <f t="shared" si="95"/>
        <v>-0.72239170225747407</v>
      </c>
      <c r="X275" s="88">
        <v>1</v>
      </c>
      <c r="Y275" s="88" t="s">
        <v>63</v>
      </c>
      <c r="Z275" s="90" t="s">
        <v>44</v>
      </c>
      <c r="AA275" s="88" t="s">
        <v>48</v>
      </c>
    </row>
    <row r="276" spans="1:29" ht="18.75" customHeight="1" x14ac:dyDescent="0.2">
      <c r="A276" s="88" t="s">
        <v>412</v>
      </c>
      <c r="B276" s="88" t="s">
        <v>41</v>
      </c>
      <c r="C276" s="88">
        <v>2007</v>
      </c>
      <c r="D276" s="152" t="s">
        <v>425</v>
      </c>
      <c r="E276" s="90" t="s">
        <v>425</v>
      </c>
      <c r="F276" s="88">
        <v>6</v>
      </c>
      <c r="G276" s="90">
        <v>9</v>
      </c>
      <c r="I276" s="163">
        <v>101</v>
      </c>
      <c r="J276" s="155">
        <v>19.7</v>
      </c>
      <c r="K276" s="88">
        <v>12</v>
      </c>
      <c r="L276" s="154" t="s">
        <v>44</v>
      </c>
      <c r="M276" s="154"/>
      <c r="N276" s="163">
        <v>115</v>
      </c>
      <c r="O276" s="155">
        <v>14.2</v>
      </c>
      <c r="P276" s="88">
        <v>12</v>
      </c>
      <c r="R276" s="157">
        <f t="shared" si="92"/>
        <v>0.81529808624004929</v>
      </c>
      <c r="S276" s="88">
        <v>-1</v>
      </c>
      <c r="T276" s="174">
        <f t="shared" si="93"/>
        <v>-0.81529808624004929</v>
      </c>
      <c r="U276" s="174">
        <f t="shared" si="94"/>
        <v>-0.78718435912832352</v>
      </c>
      <c r="V276" s="174">
        <f t="shared" si="95"/>
        <v>-0.95191840699368635</v>
      </c>
      <c r="X276" s="88">
        <v>1</v>
      </c>
      <c r="Y276" s="88" t="s">
        <v>63</v>
      </c>
      <c r="Z276" s="90" t="s">
        <v>234</v>
      </c>
      <c r="AA276" s="88" t="s">
        <v>48</v>
      </c>
    </row>
    <row r="277" spans="1:29" ht="18.75" customHeight="1" x14ac:dyDescent="0.2">
      <c r="A277" s="88" t="s">
        <v>412</v>
      </c>
      <c r="B277" s="88" t="s">
        <v>41</v>
      </c>
      <c r="C277" s="88">
        <v>2007</v>
      </c>
      <c r="D277" s="152" t="s">
        <v>426</v>
      </c>
      <c r="E277" s="90" t="s">
        <v>426</v>
      </c>
      <c r="F277" s="88">
        <v>6</v>
      </c>
      <c r="G277" s="90">
        <v>10</v>
      </c>
      <c r="I277" s="163">
        <v>92</v>
      </c>
      <c r="J277" s="155">
        <v>12.5</v>
      </c>
      <c r="K277" s="88">
        <v>12</v>
      </c>
      <c r="L277" s="154" t="s">
        <v>44</v>
      </c>
      <c r="M277" s="154"/>
      <c r="N277" s="163">
        <v>106</v>
      </c>
      <c r="O277" s="155">
        <v>12.5</v>
      </c>
      <c r="P277" s="88">
        <v>12</v>
      </c>
      <c r="R277" s="157">
        <f t="shared" si="92"/>
        <v>1.1200000000000001</v>
      </c>
      <c r="S277" s="88">
        <v>-1</v>
      </c>
      <c r="T277" s="174">
        <f t="shared" si="93"/>
        <v>-1.1200000000000001</v>
      </c>
      <c r="U277" s="174">
        <f t="shared" si="94"/>
        <v>-1.0813793103448277</v>
      </c>
      <c r="V277" s="174">
        <f t="shared" si="95"/>
        <v>-1.0813793103448277</v>
      </c>
      <c r="X277" s="88">
        <v>1</v>
      </c>
      <c r="Y277" s="88" t="s">
        <v>63</v>
      </c>
      <c r="Z277" s="90" t="s">
        <v>234</v>
      </c>
      <c r="AA277" s="88" t="s">
        <v>48</v>
      </c>
    </row>
    <row r="278" spans="1:29" ht="18.75" customHeight="1" x14ac:dyDescent="0.2">
      <c r="A278" s="88" t="s">
        <v>412</v>
      </c>
      <c r="B278" s="88" t="s">
        <v>41</v>
      </c>
      <c r="C278" s="88">
        <v>2007</v>
      </c>
      <c r="D278" s="152" t="s">
        <v>427</v>
      </c>
      <c r="E278" s="90" t="s">
        <v>427</v>
      </c>
      <c r="F278" s="88">
        <v>6</v>
      </c>
      <c r="G278" s="90">
        <v>11</v>
      </c>
      <c r="I278" s="163">
        <v>103</v>
      </c>
      <c r="J278" s="155">
        <v>19.7</v>
      </c>
      <c r="K278" s="88">
        <v>12</v>
      </c>
      <c r="L278" s="154" t="s">
        <v>44</v>
      </c>
      <c r="M278" s="154"/>
      <c r="N278" s="163">
        <v>101</v>
      </c>
      <c r="O278" s="155">
        <v>12.5</v>
      </c>
      <c r="P278" s="88">
        <v>12</v>
      </c>
      <c r="R278" s="157">
        <f t="shared" si="92"/>
        <v>-0.12122993408134736</v>
      </c>
      <c r="S278" s="88">
        <v>-1</v>
      </c>
      <c r="T278" s="174">
        <f t="shared" si="93"/>
        <v>0.12122993408134733</v>
      </c>
      <c r="U278" s="174">
        <f t="shared" si="94"/>
        <v>0.11704959152681811</v>
      </c>
      <c r="V278" s="174">
        <f t="shared" si="95"/>
        <v>0.15448275862068966</v>
      </c>
      <c r="X278" s="88">
        <v>1</v>
      </c>
      <c r="Y278" s="88" t="s">
        <v>63</v>
      </c>
      <c r="Z278" s="90" t="s">
        <v>234</v>
      </c>
      <c r="AA278" s="88" t="s">
        <v>48</v>
      </c>
    </row>
    <row r="279" spans="1:29" ht="18.75" customHeight="1" x14ac:dyDescent="0.2">
      <c r="A279" s="88" t="s">
        <v>412</v>
      </c>
      <c r="B279" s="88" t="s">
        <v>53</v>
      </c>
      <c r="C279" s="88">
        <v>2015</v>
      </c>
      <c r="D279" s="152" t="s">
        <v>428</v>
      </c>
      <c r="E279" s="90" t="s">
        <v>428</v>
      </c>
      <c r="F279" s="88">
        <v>7</v>
      </c>
      <c r="G279" s="90">
        <v>12</v>
      </c>
      <c r="I279" s="163">
        <v>97.64</v>
      </c>
      <c r="J279" s="155">
        <v>10.75</v>
      </c>
      <c r="K279" s="88">
        <v>14</v>
      </c>
      <c r="L279" s="154" t="s">
        <v>44</v>
      </c>
      <c r="M279" s="154"/>
      <c r="N279" s="163">
        <v>114.07</v>
      </c>
      <c r="O279" s="155">
        <v>8.91</v>
      </c>
      <c r="P279" s="88">
        <v>14</v>
      </c>
      <c r="R279" s="157">
        <f t="shared" si="92"/>
        <v>1.6641415847376684</v>
      </c>
      <c r="S279" s="88">
        <v>-1</v>
      </c>
      <c r="T279" s="174">
        <f t="shared" si="93"/>
        <v>-1.6641415847376684</v>
      </c>
      <c r="U279" s="174">
        <f t="shared" si="94"/>
        <v>-1.6156714414928819</v>
      </c>
      <c r="V279" s="174">
        <f t="shared" si="95"/>
        <v>-1.7902869035555111</v>
      </c>
      <c r="X279" s="88">
        <v>3</v>
      </c>
      <c r="Y279" s="88" t="s">
        <v>57</v>
      </c>
      <c r="Z279" s="90" t="s">
        <v>32</v>
      </c>
      <c r="AA279" s="88" t="s">
        <v>57</v>
      </c>
    </row>
    <row r="280" spans="1:29" ht="18.75" customHeight="1" x14ac:dyDescent="0.2">
      <c r="A280" s="88" t="s">
        <v>412</v>
      </c>
      <c r="B280" s="88" t="s">
        <v>319</v>
      </c>
      <c r="C280" s="88">
        <v>1998</v>
      </c>
      <c r="D280" s="152" t="s">
        <v>428</v>
      </c>
      <c r="E280" s="90" t="s">
        <v>428</v>
      </c>
      <c r="F280" s="88">
        <v>8</v>
      </c>
      <c r="G280" s="90">
        <v>13</v>
      </c>
      <c r="I280" s="163">
        <v>97.6</v>
      </c>
      <c r="J280" s="155">
        <v>15.7</v>
      </c>
      <c r="K280" s="88">
        <v>57</v>
      </c>
      <c r="L280" s="154">
        <v>1085</v>
      </c>
      <c r="M280" s="154"/>
      <c r="N280" s="163">
        <v>105.5</v>
      </c>
      <c r="O280" s="155">
        <v>16.100000000000001</v>
      </c>
      <c r="P280" s="88">
        <v>40</v>
      </c>
      <c r="R280" s="157">
        <f t="shared" si="92"/>
        <v>0.49681604395445206</v>
      </c>
      <c r="S280" s="88">
        <v>-1</v>
      </c>
      <c r="T280" s="174">
        <f t="shared" si="93"/>
        <v>-0.49793794416260784</v>
      </c>
      <c r="U280" s="174">
        <f t="shared" si="94"/>
        <v>-0.49399648286316766</v>
      </c>
      <c r="V280" s="174">
        <f t="shared" si="95"/>
        <v>-0.48679919369376784</v>
      </c>
      <c r="X280" s="88">
        <v>4</v>
      </c>
      <c r="Y280" s="88" t="s">
        <v>81</v>
      </c>
      <c r="Z280" s="90" t="s">
        <v>44</v>
      </c>
      <c r="AA280" s="88" t="s">
        <v>81</v>
      </c>
    </row>
    <row r="281" spans="1:29" ht="18.75" customHeight="1" x14ac:dyDescent="0.2">
      <c r="A281" s="88" t="s">
        <v>412</v>
      </c>
      <c r="B281" s="88" t="s">
        <v>72</v>
      </c>
      <c r="C281" s="88">
        <v>1994</v>
      </c>
      <c r="D281" s="152" t="s">
        <v>428</v>
      </c>
      <c r="E281" s="90" t="s">
        <v>428</v>
      </c>
      <c r="F281" s="88">
        <v>9</v>
      </c>
      <c r="G281" s="90">
        <v>14</v>
      </c>
      <c r="I281" s="163">
        <v>90</v>
      </c>
      <c r="J281" s="155">
        <v>11</v>
      </c>
      <c r="K281" s="88">
        <v>25</v>
      </c>
      <c r="L281" s="154">
        <v>1332</v>
      </c>
      <c r="M281" s="154"/>
      <c r="N281" s="163">
        <v>100</v>
      </c>
      <c r="O281" s="155">
        <v>9</v>
      </c>
      <c r="P281" s="88">
        <v>15</v>
      </c>
      <c r="R281" s="157">
        <f t="shared" si="92"/>
        <v>0.99503719020998915</v>
      </c>
      <c r="S281" s="88">
        <v>-1</v>
      </c>
      <c r="T281" s="174">
        <f t="shared" si="93"/>
        <v>-0.97008243498103919</v>
      </c>
      <c r="U281" s="174">
        <f t="shared" si="94"/>
        <v>-0.95080927402115101</v>
      </c>
      <c r="V281" s="174">
        <f t="shared" si="95"/>
        <v>-1.0890360559234733</v>
      </c>
      <c r="X281" s="88">
        <v>2</v>
      </c>
      <c r="Y281" s="88" t="s">
        <v>31</v>
      </c>
      <c r="Z281" s="90" t="s">
        <v>32</v>
      </c>
      <c r="AA281" s="88" t="s">
        <v>31</v>
      </c>
    </row>
    <row r="282" spans="1:29" ht="18.75" customHeight="1" x14ac:dyDescent="0.2">
      <c r="A282" s="88" t="s">
        <v>412</v>
      </c>
      <c r="B282" s="88" t="s">
        <v>77</v>
      </c>
      <c r="C282" s="88">
        <v>2020</v>
      </c>
      <c r="D282" s="152" t="s">
        <v>430</v>
      </c>
      <c r="E282" s="90" t="s">
        <v>430</v>
      </c>
      <c r="F282" s="88">
        <v>10</v>
      </c>
      <c r="G282" s="90">
        <v>15</v>
      </c>
      <c r="I282" s="163">
        <v>98.9</v>
      </c>
      <c r="J282" s="155">
        <v>15</v>
      </c>
      <c r="K282" s="88">
        <v>19</v>
      </c>
      <c r="L282" s="89">
        <v>1042</v>
      </c>
      <c r="M282" s="89"/>
      <c r="N282" s="163">
        <v>110.1</v>
      </c>
      <c r="O282" s="155">
        <v>12</v>
      </c>
      <c r="P282" s="88">
        <v>19</v>
      </c>
      <c r="R282" s="157">
        <f t="shared" si="92"/>
        <v>0.82455539469218675</v>
      </c>
      <c r="S282" s="88">
        <v>-1</v>
      </c>
      <c r="T282" s="174">
        <f t="shared" si="93"/>
        <v>-0.82455539469218675</v>
      </c>
      <c r="U282" s="174">
        <f t="shared" si="94"/>
        <v>-0.8072570297685745</v>
      </c>
      <c r="V282" s="174">
        <f t="shared" si="95"/>
        <v>-0.91375291375291279</v>
      </c>
      <c r="X282" s="88">
        <v>1</v>
      </c>
      <c r="Y282" s="88" t="s">
        <v>63</v>
      </c>
      <c r="Z282" s="90" t="s">
        <v>44</v>
      </c>
      <c r="AA282" s="88" t="s">
        <v>48</v>
      </c>
    </row>
    <row r="283" spans="1:29" ht="18.75" customHeight="1" x14ac:dyDescent="0.2">
      <c r="A283" s="88" t="s">
        <v>415</v>
      </c>
      <c r="B283" s="90" t="s">
        <v>76</v>
      </c>
      <c r="C283" s="88">
        <v>1996</v>
      </c>
      <c r="D283" s="152" t="s">
        <v>430</v>
      </c>
      <c r="E283" s="90" t="s">
        <v>430</v>
      </c>
      <c r="F283" s="88">
        <v>11</v>
      </c>
      <c r="G283" s="90">
        <v>16</v>
      </c>
      <c r="I283" s="163">
        <v>95</v>
      </c>
      <c r="J283" s="155">
        <f>(108-79)/4</f>
        <v>7.25</v>
      </c>
      <c r="K283" s="88">
        <v>11</v>
      </c>
      <c r="L283" s="89">
        <v>1545</v>
      </c>
      <c r="M283" s="89"/>
      <c r="N283" s="163">
        <v>101</v>
      </c>
      <c r="O283" s="155">
        <f>(121-84)/4</f>
        <v>9.25</v>
      </c>
      <c r="P283" s="88">
        <v>22</v>
      </c>
      <c r="R283" s="157">
        <f t="shared" si="92"/>
        <v>0.72198820511542416</v>
      </c>
      <c r="S283" s="88">
        <v>-1</v>
      </c>
      <c r="T283" s="174">
        <f t="shared" si="93"/>
        <v>-0.69320243506106893</v>
      </c>
      <c r="U283" s="174">
        <f t="shared" si="94"/>
        <v>-0.67629505859616479</v>
      </c>
      <c r="V283" s="174">
        <f t="shared" si="95"/>
        <v>-0.63282794990112068</v>
      </c>
      <c r="X283" s="334" t="s">
        <v>75</v>
      </c>
      <c r="Y283" s="334" t="s">
        <v>75</v>
      </c>
      <c r="Z283" s="90" t="s">
        <v>44</v>
      </c>
      <c r="AA283" s="334" t="s">
        <v>75</v>
      </c>
    </row>
    <row r="284" spans="1:29" ht="18.75" customHeight="1" x14ac:dyDescent="0.2">
      <c r="A284" s="88" t="s">
        <v>415</v>
      </c>
      <c r="B284" s="90" t="s">
        <v>73</v>
      </c>
      <c r="C284" s="88">
        <v>1996</v>
      </c>
      <c r="D284" s="313" t="s">
        <v>430</v>
      </c>
      <c r="E284" s="90" t="s">
        <v>430</v>
      </c>
      <c r="F284" s="88">
        <v>12</v>
      </c>
      <c r="G284" s="90">
        <v>17</v>
      </c>
      <c r="I284" s="163">
        <v>96</v>
      </c>
      <c r="J284" s="329">
        <f>(108-79)/4</f>
        <v>7.25</v>
      </c>
      <c r="K284" s="88">
        <v>11</v>
      </c>
      <c r="L284" s="89">
        <v>566</v>
      </c>
      <c r="M284" s="89"/>
      <c r="N284" s="163">
        <v>101</v>
      </c>
      <c r="O284" s="155">
        <f>(121-84)/4</f>
        <v>9.25</v>
      </c>
      <c r="P284" s="88">
        <v>22</v>
      </c>
      <c r="R284" s="157">
        <f t="shared" si="92"/>
        <v>0.60165683759618682</v>
      </c>
      <c r="S284" s="88">
        <v>-1</v>
      </c>
      <c r="T284" s="174">
        <f t="shared" si="93"/>
        <v>-0.57766869588422409</v>
      </c>
      <c r="U284" s="174">
        <f t="shared" si="94"/>
        <v>-0.56357921549680401</v>
      </c>
      <c r="V284" s="174">
        <f t="shared" si="95"/>
        <v>-0.52735662491760049</v>
      </c>
      <c r="X284" s="334" t="s">
        <v>75</v>
      </c>
      <c r="Y284" s="334" t="s">
        <v>75</v>
      </c>
      <c r="Z284" s="90" t="s">
        <v>44</v>
      </c>
      <c r="AA284" s="334" t="s">
        <v>75</v>
      </c>
    </row>
    <row r="285" spans="1:29" ht="18.75" customHeight="1" x14ac:dyDescent="0.2">
      <c r="A285" s="88" t="s">
        <v>415</v>
      </c>
      <c r="B285" s="187" t="s">
        <v>112</v>
      </c>
      <c r="C285" s="88">
        <v>1996</v>
      </c>
      <c r="D285" s="152" t="s">
        <v>430</v>
      </c>
      <c r="E285" s="90" t="s">
        <v>430</v>
      </c>
      <c r="F285" s="88">
        <v>13</v>
      </c>
      <c r="G285" s="90">
        <v>18</v>
      </c>
      <c r="I285" s="163">
        <v>82</v>
      </c>
      <c r="J285" s="155">
        <v>14</v>
      </c>
      <c r="K285" s="88">
        <v>8</v>
      </c>
      <c r="L285" s="89">
        <v>1253.0999999999999</v>
      </c>
      <c r="M285" s="89"/>
      <c r="N285" s="163">
        <v>92.2</v>
      </c>
      <c r="O285" s="155">
        <v>8.5</v>
      </c>
      <c r="P285" s="88">
        <v>8</v>
      </c>
      <c r="R285" s="157">
        <f t="shared" si="92"/>
        <v>0.88073509922374515</v>
      </c>
      <c r="S285" s="88">
        <v>-1</v>
      </c>
      <c r="T285" s="174">
        <f t="shared" si="93"/>
        <v>-0.88073509922374515</v>
      </c>
      <c r="U285" s="174">
        <f t="shared" si="94"/>
        <v>-0.83269500290244991</v>
      </c>
      <c r="V285" s="174">
        <f t="shared" si="95"/>
        <v>-1.134545454545455</v>
      </c>
      <c r="X285" s="334" t="s">
        <v>75</v>
      </c>
      <c r="Y285" s="334" t="s">
        <v>75</v>
      </c>
      <c r="Z285" s="90" t="s">
        <v>44</v>
      </c>
      <c r="AA285" s="334" t="s">
        <v>75</v>
      </c>
    </row>
    <row r="286" spans="1:29" ht="18.75" customHeight="1" x14ac:dyDescent="0.2">
      <c r="A286" s="88" t="s">
        <v>412</v>
      </c>
      <c r="B286" s="88" t="s">
        <v>82</v>
      </c>
      <c r="C286" s="88">
        <v>2013</v>
      </c>
      <c r="D286" s="152" t="s">
        <v>429</v>
      </c>
      <c r="E286" s="90" t="s">
        <v>430</v>
      </c>
      <c r="F286" s="88">
        <v>14</v>
      </c>
      <c r="G286" s="90">
        <v>19</v>
      </c>
      <c r="I286" s="163">
        <v>89.8</v>
      </c>
      <c r="J286" s="155">
        <v>20.72</v>
      </c>
      <c r="K286" s="88">
        <v>57</v>
      </c>
      <c r="L286" s="154">
        <v>810</v>
      </c>
      <c r="M286" s="154"/>
      <c r="N286" s="163">
        <v>103.3</v>
      </c>
      <c r="O286" s="155">
        <v>16.5</v>
      </c>
      <c r="P286" s="88">
        <v>46</v>
      </c>
      <c r="R286" s="157">
        <f t="shared" si="92"/>
        <v>0.72079830492902019</v>
      </c>
      <c r="S286" s="88">
        <v>-1</v>
      </c>
      <c r="T286" s="174">
        <f t="shared" si="93"/>
        <v>-0.71216813849226457</v>
      </c>
      <c r="U286" s="174">
        <f t="shared" si="94"/>
        <v>-0.70686663870199962</v>
      </c>
      <c r="V286" s="174">
        <f t="shared" si="95"/>
        <v>-0.81209113467177996</v>
      </c>
      <c r="X286" s="88">
        <v>3</v>
      </c>
      <c r="Y286" s="88" t="s">
        <v>85</v>
      </c>
      <c r="Z286" s="90" t="s">
        <v>44</v>
      </c>
      <c r="AA286" s="88" t="s">
        <v>85</v>
      </c>
    </row>
    <row r="287" spans="1:29" ht="18.75" customHeight="1" x14ac:dyDescent="0.2">
      <c r="F287" s="337">
        <v>14</v>
      </c>
      <c r="G287" s="337">
        <v>19</v>
      </c>
      <c r="J287" s="155">
        <f>AVERAGE(J270:J286)</f>
        <v>13.248823529411764</v>
      </c>
      <c r="K287" s="337">
        <f>SUM(K268,N288,K286,K284,K283,K282,K281,K280,K279,K278,K275,K274,K273,K272,K271,K269)</f>
        <v>399</v>
      </c>
      <c r="L287" s="338">
        <f>AVERAGE(L268,O288,L286,L284,L283,L282,L281,L280,L279,L278,L275,L274,L273,L272,L271,L269)</f>
        <v>943.2538461538461</v>
      </c>
      <c r="M287" s="338"/>
      <c r="O287" s="155">
        <f>AVERAGE(O270:O286)</f>
        <v>11.17235294117647</v>
      </c>
      <c r="P287" s="337">
        <f>SUM(P268,S288,P286,P284,P283,P282,P281,P280,P279,P278,P275,P274,P273,P272,P271,P269)</f>
        <v>431</v>
      </c>
      <c r="R287" s="157"/>
      <c r="T287" s="189">
        <f t="shared" ref="T287:V287" si="96">AVERAGE(T269:T286)</f>
        <v>-0.60291398054807466</v>
      </c>
      <c r="U287" s="189">
        <f t="shared" si="96"/>
        <v>-0.58861171527342571</v>
      </c>
      <c r="V287" s="189">
        <f t="shared" si="96"/>
        <v>-0.65739282893945983</v>
      </c>
      <c r="X287" s="88"/>
      <c r="Y287" s="88"/>
      <c r="Z287" s="90"/>
      <c r="AA287" s="334"/>
    </row>
    <row r="288" spans="1:29" ht="18.75" customHeight="1" x14ac:dyDescent="0.2">
      <c r="A288" s="348" t="s">
        <v>670</v>
      </c>
      <c r="B288" s="348"/>
      <c r="J288" s="155"/>
      <c r="L288" s="187"/>
      <c r="M288" s="187"/>
      <c r="O288" s="155"/>
      <c r="R288" s="157"/>
      <c r="T288" s="197">
        <f>STDEV(T268:T286)</f>
        <v>0.45655309570274893</v>
      </c>
      <c r="U288" s="197">
        <f t="shared" ref="U288:V288" si="97">STDEV(U268:U286)</f>
        <v>0.44343619239722187</v>
      </c>
      <c r="V288" s="197">
        <f t="shared" si="97"/>
        <v>0.5061252995655896</v>
      </c>
      <c r="W288" s="88"/>
      <c r="X288" s="88"/>
      <c r="Y288" s="88"/>
      <c r="Z288" s="90"/>
      <c r="AB288" s="337"/>
      <c r="AC288" s="337"/>
    </row>
    <row r="289" spans="1:29" ht="21" customHeight="1" x14ac:dyDescent="0.2">
      <c r="A289" s="88" t="s">
        <v>669</v>
      </c>
      <c r="F289" s="163">
        <f>AVERAGE(F287,F265,F247,F243,F239,F228,F219,F201,F190,F178,F170,F157,F146,F128,F116,F102,F85,F71,F50)</f>
        <v>5.4736842105263159</v>
      </c>
      <c r="G289" s="88">
        <f>SUM(G265,G247,G243,G239,G228,G219,G201,G190,G178,G170,G157,G146,G128,G116,G102,G85,G71,G50,G42)</f>
        <v>220</v>
      </c>
      <c r="I289" s="163">
        <f>AVERAGE(G265,G247,G243,G239,G228,G219,G201,G190,G178,G170,G157,G146,G128,G116,G102,G85,G71,G50,G42)</f>
        <v>11.578947368421053</v>
      </c>
      <c r="J289" s="155">
        <f>STDEV(G265,G247,G243,G239,G228,G219,G201,G190,G178,G170,G157,G146,G128,G116,G102,G85,G71,G50,G42)</f>
        <v>7.3129701328354049</v>
      </c>
      <c r="L289" s="187"/>
      <c r="M289" s="187"/>
      <c r="O289" s="155"/>
      <c r="P289" s="88">
        <f>(P287)</f>
        <v>431</v>
      </c>
      <c r="R289" s="157"/>
      <c r="T289" s="197"/>
      <c r="U289" s="197"/>
      <c r="V289" s="197"/>
      <c r="W289" s="88"/>
      <c r="X289" s="88"/>
      <c r="Y289" s="88"/>
      <c r="Z289" s="90"/>
      <c r="AB289" s="337"/>
      <c r="AC289" s="337"/>
    </row>
    <row r="290" spans="1:29" ht="18.75" customHeight="1" x14ac:dyDescent="0.2">
      <c r="A290" s="88" t="s">
        <v>432</v>
      </c>
      <c r="F290" s="88">
        <f>AVERAGE(F287,F265,F247,F243,F239,F228,F219,F201,F190,F178,F170,F157,F146,F128,F116,F102,F85,F71,F50,F42)</f>
        <v>5.9</v>
      </c>
      <c r="G290" s="88">
        <f>SUM(G287,G265,G247,G243,G239,G228,G219,G201,G190,G178,G170,G157,G146,G128,G116,G102,G85,G71,G50,G42)</f>
        <v>239</v>
      </c>
      <c r="I290" s="88">
        <f>AVERAGE(G287,G265,G247,G243,G239,G228,G219,G201,G190,G178,G170,G157,G146,G128,G116,G102,G85,G71,G50,G42)</f>
        <v>11.95</v>
      </c>
      <c r="J290" s="155"/>
      <c r="O290" s="155"/>
    </row>
    <row r="291" spans="1:29" ht="18.75" customHeight="1" x14ac:dyDescent="0.2">
      <c r="A291" s="313"/>
      <c r="B291" s="88" t="s">
        <v>433</v>
      </c>
      <c r="J291" s="155"/>
      <c r="O291" s="155"/>
    </row>
    <row r="292" spans="1:29" ht="18.75" customHeight="1" x14ac:dyDescent="0.2">
      <c r="J292" s="155"/>
      <c r="O292" s="155"/>
    </row>
    <row r="294" spans="1:29" ht="18.75" customHeight="1" x14ac:dyDescent="0.2">
      <c r="C294" s="88">
        <v>1996</v>
      </c>
      <c r="D294" s="313" t="s">
        <v>430</v>
      </c>
      <c r="E294" s="90" t="s">
        <v>430</v>
      </c>
      <c r="H294" s="88">
        <v>96</v>
      </c>
      <c r="I294" s="88">
        <v>7.25</v>
      </c>
      <c r="J294" s="314">
        <v>22</v>
      </c>
      <c r="K294" s="88">
        <v>566</v>
      </c>
      <c r="L294" s="90">
        <v>101</v>
      </c>
      <c r="M294" s="90">
        <v>9.25</v>
      </c>
      <c r="N294" s="88">
        <v>22</v>
      </c>
      <c r="O294" s="314">
        <v>-1</v>
      </c>
      <c r="P294" s="88" t="s">
        <v>75</v>
      </c>
    </row>
  </sheetData>
  <mergeCells count="6">
    <mergeCell ref="I4:K4"/>
    <mergeCell ref="N4:P4"/>
    <mergeCell ref="A288:B288"/>
    <mergeCell ref="I5:J5"/>
    <mergeCell ref="N5:O5"/>
    <mergeCell ref="R4:V5"/>
  </mergeCells>
  <pageMargins left="0.7" right="0.7" top="0.75" bottom="0.75" header="0.3" footer="0.3"/>
  <pageSetup paperSize="9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C2081-EBCD-4431-9427-332981270C4A}">
  <dimension ref="A1:BC86"/>
  <sheetViews>
    <sheetView topLeftCell="A24" zoomScale="91" zoomScaleNormal="91" workbookViewId="0">
      <selection activeCell="B24" sqref="B1:B1048576"/>
    </sheetView>
  </sheetViews>
  <sheetFormatPr defaultColWidth="27" defaultRowHeight="15" x14ac:dyDescent="0.25"/>
  <cols>
    <col min="1" max="1" width="22.42578125" style="8" customWidth="1"/>
    <col min="2" max="2" width="25.140625" style="21" customWidth="1"/>
    <col min="3" max="3" width="6.7109375" style="8" customWidth="1"/>
    <col min="4" max="4" width="11.7109375" style="8" customWidth="1"/>
    <col min="5" max="5" width="21.7109375" style="53" customWidth="1"/>
    <col min="6" max="6" width="31" style="29" customWidth="1"/>
    <col min="7" max="7" width="8.42578125" style="8" customWidth="1"/>
    <col min="8" max="8" width="7.42578125" style="8" customWidth="1"/>
    <col min="9" max="9" width="3.7109375" style="8" customWidth="1"/>
    <col min="10" max="10" width="6.7109375" style="8" customWidth="1"/>
    <col min="11" max="11" width="8" style="62" customWidth="1"/>
    <col min="12" max="12" width="5.7109375" style="8" customWidth="1"/>
    <col min="13" max="13" width="9.42578125" style="29" customWidth="1"/>
    <col min="14" max="14" width="1.140625" style="29" customWidth="1"/>
    <col min="15" max="15" width="8.42578125" style="8" customWidth="1"/>
    <col min="16" max="16" width="7.42578125" style="62" customWidth="1"/>
    <col min="17" max="17" width="5.7109375" style="8" customWidth="1"/>
    <col min="18" max="18" width="5" style="8" customWidth="1"/>
    <col min="19" max="19" width="10.140625" style="8" customWidth="1"/>
    <col min="20" max="20" width="5.7109375" style="8" customWidth="1"/>
    <col min="21" max="21" width="10.140625" style="8" customWidth="1"/>
    <col min="22" max="22" width="7.42578125" style="8" customWidth="1"/>
    <col min="23" max="23" width="11" style="8" customWidth="1"/>
    <col min="24" max="24" width="0.42578125" hidden="1" customWidth="1"/>
    <col min="25" max="25" width="5.42578125" style="29" customWidth="1"/>
    <col min="26" max="26" width="17.28515625" style="29" hidden="1" customWidth="1"/>
    <col min="27" max="27" width="13.42578125" style="8" customWidth="1"/>
    <col min="28" max="28" width="29.28515625" style="8" customWidth="1"/>
    <col min="29" max="16384" width="27" style="8"/>
  </cols>
  <sheetData>
    <row r="1" spans="1:55" ht="18.75" customHeight="1" x14ac:dyDescent="0.25">
      <c r="A1" s="133" t="s">
        <v>562</v>
      </c>
    </row>
    <row r="2" spans="1:55" ht="18.75" customHeight="1" x14ac:dyDescent="0.25">
      <c r="G2" s="29"/>
    </row>
    <row r="3" spans="1:55" ht="18.75" customHeight="1" x14ac:dyDescent="0.2">
      <c r="A3" s="1"/>
      <c r="B3" s="1"/>
      <c r="C3" s="1"/>
      <c r="D3" s="1"/>
      <c r="E3" s="2"/>
      <c r="F3" s="3"/>
      <c r="G3" s="1"/>
      <c r="H3" s="1"/>
      <c r="I3" s="1"/>
      <c r="J3" s="290" t="s">
        <v>0</v>
      </c>
      <c r="K3" s="290"/>
      <c r="L3" s="290"/>
      <c r="M3" s="3"/>
      <c r="N3" s="3"/>
      <c r="O3" s="291" t="s">
        <v>1</v>
      </c>
      <c r="P3" s="291"/>
      <c r="Q3" s="291"/>
      <c r="R3" s="172"/>
      <c r="S3" s="291" t="s">
        <v>2</v>
      </c>
      <c r="T3" s="291"/>
      <c r="U3" s="291"/>
      <c r="V3" s="291"/>
      <c r="W3" s="291"/>
      <c r="X3" s="5"/>
      <c r="Y3" s="3"/>
      <c r="Z3" s="6"/>
      <c r="AA3" s="7"/>
    </row>
    <row r="4" spans="1:55" s="19" customFormat="1" ht="27.75" customHeight="1" thickBot="1" x14ac:dyDescent="0.25">
      <c r="A4" s="9" t="s">
        <v>3</v>
      </c>
      <c r="B4" s="9" t="s">
        <v>4</v>
      </c>
      <c r="C4" s="9" t="s">
        <v>5</v>
      </c>
      <c r="D4" s="9"/>
      <c r="E4" s="10" t="s">
        <v>6</v>
      </c>
      <c r="F4" s="11" t="s">
        <v>7</v>
      </c>
      <c r="G4" s="12" t="s">
        <v>8</v>
      </c>
      <c r="H4" s="12" t="s">
        <v>9</v>
      </c>
      <c r="I4" s="13"/>
      <c r="J4" s="14" t="s">
        <v>10</v>
      </c>
      <c r="K4" s="15" t="s">
        <v>11</v>
      </c>
      <c r="L4" s="14" t="s">
        <v>12</v>
      </c>
      <c r="M4" s="14" t="s">
        <v>13</v>
      </c>
      <c r="N4" s="13"/>
      <c r="O4" s="14" t="s">
        <v>10</v>
      </c>
      <c r="P4" s="15" t="s">
        <v>11</v>
      </c>
      <c r="Q4" s="14" t="s">
        <v>12</v>
      </c>
      <c r="R4" s="13"/>
      <c r="S4" s="14" t="s">
        <v>14</v>
      </c>
      <c r="T4" s="13"/>
      <c r="U4" s="14" t="s">
        <v>15</v>
      </c>
      <c r="V4" s="14" t="s">
        <v>16</v>
      </c>
      <c r="W4" s="14" t="s">
        <v>17</v>
      </c>
      <c r="X4" s="16"/>
      <c r="Y4" s="12" t="s">
        <v>18</v>
      </c>
      <c r="Z4" s="17" t="s">
        <v>18</v>
      </c>
      <c r="AA4" s="17" t="s">
        <v>19</v>
      </c>
      <c r="AB4" s="18" t="s">
        <v>18</v>
      </c>
      <c r="AL4" s="19" t="s">
        <v>10</v>
      </c>
      <c r="AM4" s="19" t="s">
        <v>11</v>
      </c>
      <c r="AN4" s="19" t="s">
        <v>20</v>
      </c>
      <c r="AP4" s="19" t="s">
        <v>21</v>
      </c>
      <c r="AR4" s="19" t="s">
        <v>22</v>
      </c>
      <c r="AS4" s="19" t="s">
        <v>23</v>
      </c>
      <c r="AT4" s="19" t="s">
        <v>24</v>
      </c>
      <c r="AV4" s="19" t="s">
        <v>25</v>
      </c>
      <c r="BB4" s="19" t="s">
        <v>26</v>
      </c>
    </row>
    <row r="5" spans="1:55" ht="18.75" customHeight="1" x14ac:dyDescent="0.2">
      <c r="A5" s="20" t="s">
        <v>559</v>
      </c>
      <c r="B5" s="86" t="s">
        <v>563</v>
      </c>
      <c r="C5" s="98">
        <v>2022</v>
      </c>
      <c r="D5" s="21" t="s">
        <v>618</v>
      </c>
      <c r="E5" s="99" t="s">
        <v>564</v>
      </c>
      <c r="F5" s="134" t="s">
        <v>564</v>
      </c>
      <c r="G5" s="20">
        <v>1</v>
      </c>
      <c r="H5" s="20">
        <v>1</v>
      </c>
      <c r="I5" s="20"/>
      <c r="J5" s="34">
        <v>81.400000000000006</v>
      </c>
      <c r="K5" s="25">
        <v>6.3</v>
      </c>
      <c r="L5" s="21">
        <v>20</v>
      </c>
      <c r="M5" s="26">
        <v>702.3</v>
      </c>
      <c r="N5" s="26"/>
      <c r="O5" s="24">
        <v>87.4</v>
      </c>
      <c r="P5" s="25">
        <v>7.9</v>
      </c>
      <c r="Q5" s="21">
        <v>40</v>
      </c>
      <c r="R5" s="20"/>
      <c r="S5" s="27">
        <f t="shared" ref="S5:S41" si="0">(O5-J5)/SQRT((P5^2+K5^2)/2)</f>
        <v>0.8397565059148091</v>
      </c>
      <c r="T5" s="20">
        <v>-1</v>
      </c>
      <c r="U5" s="23">
        <f t="shared" ref="U5:U41" si="1">(O5-J5)/SQRT((((Q5-1)*P5^2) + ((L5-1)*K5^2))/(Q5+L5-2))*T5</f>
        <v>-0.80928087926573489</v>
      </c>
      <c r="V5" s="23">
        <f t="shared" ref="V5:V41" si="2">U5*(1-(3/(4*(L5+Q5-2) -1)))</f>
        <v>-0.7987707379765695</v>
      </c>
      <c r="W5" s="23">
        <f t="shared" ref="W5:W41" si="3">((O5-J5)/P5)*T5 * (1-(3/(4*(L5+Q5-2)-1)))</f>
        <v>-0.74963011671872426</v>
      </c>
      <c r="X5" s="28"/>
      <c r="Y5" s="20">
        <v>1</v>
      </c>
    </row>
    <row r="6" spans="1:55" ht="18.75" customHeight="1" x14ac:dyDescent="0.2">
      <c r="A6" s="20" t="s">
        <v>27</v>
      </c>
      <c r="B6" s="20" t="s">
        <v>33</v>
      </c>
      <c r="C6" s="21">
        <v>2005</v>
      </c>
      <c r="D6" s="21" t="s">
        <v>618</v>
      </c>
      <c r="E6" s="22" t="s">
        <v>34</v>
      </c>
      <c r="F6" s="23" t="s">
        <v>35</v>
      </c>
      <c r="G6" s="20">
        <v>2</v>
      </c>
      <c r="H6" s="20">
        <v>2</v>
      </c>
      <c r="I6" s="20"/>
      <c r="J6" s="24">
        <v>66.48</v>
      </c>
      <c r="K6" s="25">
        <v>15.75</v>
      </c>
      <c r="L6" s="21">
        <v>25</v>
      </c>
      <c r="M6" s="26">
        <v>758.79</v>
      </c>
      <c r="N6" s="26"/>
      <c r="O6" s="24">
        <v>67.599999999999994</v>
      </c>
      <c r="P6" s="25">
        <v>16.690000000000001</v>
      </c>
      <c r="Q6" s="21">
        <v>25</v>
      </c>
      <c r="R6" s="20"/>
      <c r="S6" s="27">
        <f t="shared" si="0"/>
        <v>6.9021584249196799E-2</v>
      </c>
      <c r="T6" s="20">
        <v>-1</v>
      </c>
      <c r="U6" s="23">
        <f t="shared" si="1"/>
        <v>-6.9021584249196799E-2</v>
      </c>
      <c r="V6" s="23">
        <f t="shared" si="2"/>
        <v>-6.7937475596068053E-2</v>
      </c>
      <c r="W6" s="23">
        <f t="shared" si="3"/>
        <v>-6.6052029776113907E-2</v>
      </c>
      <c r="X6" s="28"/>
      <c r="Y6" s="20">
        <v>2</v>
      </c>
      <c r="Z6" s="29" t="s">
        <v>31</v>
      </c>
      <c r="AA6" s="8" t="s">
        <v>32</v>
      </c>
      <c r="AB6" s="29" t="s">
        <v>31</v>
      </c>
      <c r="AL6" s="8">
        <v>-67.599999999999994</v>
      </c>
      <c r="AM6" s="8">
        <v>16.7</v>
      </c>
      <c r="AN6" s="8">
        <v>25</v>
      </c>
      <c r="BB6" s="8" t="s">
        <v>33</v>
      </c>
      <c r="BC6" s="8">
        <v>2</v>
      </c>
    </row>
    <row r="7" spans="1:55" ht="18.75" customHeight="1" x14ac:dyDescent="0.2">
      <c r="A7" s="20" t="s">
        <v>264</v>
      </c>
      <c r="B7" s="20" t="s">
        <v>33</v>
      </c>
      <c r="C7" s="21">
        <v>2005</v>
      </c>
      <c r="D7" s="21" t="s">
        <v>618</v>
      </c>
      <c r="E7" s="22" t="s">
        <v>269</v>
      </c>
      <c r="F7" s="23" t="s">
        <v>270</v>
      </c>
      <c r="G7" s="20">
        <v>2</v>
      </c>
      <c r="H7" s="20">
        <v>3</v>
      </c>
      <c r="I7" s="20"/>
      <c r="J7" s="34">
        <v>99.4</v>
      </c>
      <c r="K7" s="45">
        <v>1.66</v>
      </c>
      <c r="L7" s="20">
        <v>25</v>
      </c>
      <c r="M7" s="26">
        <v>758.79</v>
      </c>
      <c r="N7" s="26"/>
      <c r="O7" s="34">
        <v>99.4</v>
      </c>
      <c r="P7" s="45">
        <v>1.66</v>
      </c>
      <c r="Q7" s="20">
        <v>25</v>
      </c>
      <c r="R7" s="20"/>
      <c r="S7" s="27">
        <f t="shared" si="0"/>
        <v>0</v>
      </c>
      <c r="T7" s="20">
        <v>-1</v>
      </c>
      <c r="U7" s="23">
        <f t="shared" si="1"/>
        <v>0</v>
      </c>
      <c r="V7" s="23">
        <f t="shared" si="2"/>
        <v>0</v>
      </c>
      <c r="W7" s="23">
        <f t="shared" si="3"/>
        <v>0</v>
      </c>
      <c r="X7" s="28"/>
      <c r="Y7" s="20">
        <v>2</v>
      </c>
      <c r="Z7" s="29" t="s">
        <v>31</v>
      </c>
      <c r="AA7" s="8" t="s">
        <v>32</v>
      </c>
      <c r="AB7" s="29" t="s">
        <v>31</v>
      </c>
    </row>
    <row r="8" spans="1:55" ht="18.75" customHeight="1" x14ac:dyDescent="0.2">
      <c r="A8" s="20" t="s">
        <v>264</v>
      </c>
      <c r="B8" s="20" t="s">
        <v>33</v>
      </c>
      <c r="C8" s="21">
        <v>2005</v>
      </c>
      <c r="D8" s="21" t="s">
        <v>618</v>
      </c>
      <c r="E8" s="22" t="s">
        <v>273</v>
      </c>
      <c r="F8" s="23" t="s">
        <v>274</v>
      </c>
      <c r="G8" s="20">
        <v>2</v>
      </c>
      <c r="H8" s="20">
        <v>4</v>
      </c>
      <c r="I8" s="20"/>
      <c r="J8" s="34">
        <v>97.4</v>
      </c>
      <c r="K8" s="45">
        <v>3.85</v>
      </c>
      <c r="L8" s="20">
        <v>25</v>
      </c>
      <c r="M8" s="26">
        <v>758.79</v>
      </c>
      <c r="N8" s="26"/>
      <c r="O8" s="34">
        <v>98.8</v>
      </c>
      <c r="P8" s="45">
        <v>2.1800000000000002</v>
      </c>
      <c r="Q8" s="20">
        <v>25</v>
      </c>
      <c r="R8" s="20"/>
      <c r="S8" s="27">
        <f t="shared" si="0"/>
        <v>0.44750022442798021</v>
      </c>
      <c r="T8" s="20">
        <v>-1</v>
      </c>
      <c r="U8" s="23">
        <f t="shared" si="1"/>
        <v>-0.44750022442798021</v>
      </c>
      <c r="V8" s="23">
        <f t="shared" si="2"/>
        <v>-0.44047142509141507</v>
      </c>
      <c r="W8" s="23">
        <f t="shared" si="3"/>
        <v>-0.63211489504778906</v>
      </c>
      <c r="X8" s="28"/>
      <c r="Y8" s="20">
        <v>2</v>
      </c>
      <c r="Z8" s="29" t="s">
        <v>31</v>
      </c>
      <c r="AA8" s="8" t="s">
        <v>32</v>
      </c>
      <c r="AB8" s="29" t="s">
        <v>31</v>
      </c>
    </row>
    <row r="9" spans="1:55" ht="18.75" customHeight="1" x14ac:dyDescent="0.2">
      <c r="A9" s="20" t="s">
        <v>101</v>
      </c>
      <c r="B9" s="20" t="s">
        <v>115</v>
      </c>
      <c r="C9" s="21">
        <v>2005</v>
      </c>
      <c r="D9" s="21" t="s">
        <v>618</v>
      </c>
      <c r="E9" s="22" t="s">
        <v>116</v>
      </c>
      <c r="F9" s="20" t="s">
        <v>117</v>
      </c>
      <c r="G9" s="178">
        <v>2</v>
      </c>
      <c r="H9" s="20">
        <v>5</v>
      </c>
      <c r="I9" s="20"/>
      <c r="J9" s="24">
        <v>1.7</v>
      </c>
      <c r="K9" s="49">
        <f>SQRT((1.03/SQRT(25))^2 + (3.41/SQRT(25))^2)</f>
        <v>0.71243245293852253</v>
      </c>
      <c r="L9" s="21">
        <v>25</v>
      </c>
      <c r="M9" s="26">
        <v>758.79</v>
      </c>
      <c r="N9" s="26"/>
      <c r="O9" s="24">
        <v>1.9</v>
      </c>
      <c r="P9" s="49">
        <f>SQRT((1.91/SQRT(25))^2 + (2.861/SQRT(25))^2)</f>
        <v>0.68799479649195028</v>
      </c>
      <c r="Q9" s="21">
        <v>25</v>
      </c>
      <c r="R9" s="21"/>
      <c r="S9" s="27">
        <f t="shared" si="0"/>
        <v>0.28558364068272346</v>
      </c>
      <c r="T9" s="20">
        <v>1</v>
      </c>
      <c r="U9" s="23">
        <f t="shared" si="1"/>
        <v>0.28558364068272346</v>
      </c>
      <c r="V9" s="23">
        <f t="shared" si="2"/>
        <v>0.28109803376100528</v>
      </c>
      <c r="W9" s="23">
        <f t="shared" si="3"/>
        <v>0.28613390645863518</v>
      </c>
      <c r="X9" s="28"/>
      <c r="Y9" s="20">
        <v>2</v>
      </c>
      <c r="Z9" s="29" t="s">
        <v>31</v>
      </c>
      <c r="AA9" s="8" t="s">
        <v>32</v>
      </c>
      <c r="AB9" s="29" t="s">
        <v>31</v>
      </c>
    </row>
    <row r="10" spans="1:55" ht="18.75" customHeight="1" x14ac:dyDescent="0.2">
      <c r="A10" s="20" t="s">
        <v>27</v>
      </c>
      <c r="B10" s="20" t="s">
        <v>38</v>
      </c>
      <c r="C10" s="21">
        <v>2007</v>
      </c>
      <c r="D10" s="21" t="s">
        <v>618</v>
      </c>
      <c r="E10" s="22" t="s">
        <v>34</v>
      </c>
      <c r="F10" s="23" t="s">
        <v>39</v>
      </c>
      <c r="G10" s="20">
        <v>3</v>
      </c>
      <c r="H10" s="20">
        <v>6</v>
      </c>
      <c r="I10" s="20"/>
      <c r="J10" s="24">
        <v>60.24</v>
      </c>
      <c r="K10" s="25">
        <v>17.75</v>
      </c>
      <c r="L10" s="21">
        <v>25</v>
      </c>
      <c r="M10" s="26">
        <v>1285.68</v>
      </c>
      <c r="N10" s="26"/>
      <c r="O10" s="24">
        <v>66.040000000000006</v>
      </c>
      <c r="P10" s="25">
        <v>16.399999999999999</v>
      </c>
      <c r="Q10" s="21">
        <v>45</v>
      </c>
      <c r="R10" s="20"/>
      <c r="S10" s="27">
        <f t="shared" si="0"/>
        <v>0.33941278858608348</v>
      </c>
      <c r="T10" s="20">
        <v>-1</v>
      </c>
      <c r="U10" s="23">
        <f t="shared" si="1"/>
        <v>-0.3434229172217676</v>
      </c>
      <c r="V10" s="23">
        <f t="shared" si="2"/>
        <v>-0.33962118751082554</v>
      </c>
      <c r="W10" s="23">
        <f t="shared" si="3"/>
        <v>-0.34974349743497468</v>
      </c>
      <c r="X10" s="28"/>
      <c r="Y10" s="20">
        <v>2</v>
      </c>
      <c r="Z10" s="29" t="s">
        <v>31</v>
      </c>
      <c r="AA10" s="8" t="s">
        <v>32</v>
      </c>
      <c r="AB10" s="29" t="s">
        <v>31</v>
      </c>
      <c r="AL10" s="8">
        <v>-66</v>
      </c>
      <c r="AM10" s="8">
        <v>16.399999999999999</v>
      </c>
      <c r="AN10" s="8">
        <v>45</v>
      </c>
      <c r="BB10" s="8" t="s">
        <v>38</v>
      </c>
      <c r="BC10" s="8">
        <v>4</v>
      </c>
    </row>
    <row r="11" spans="1:55" ht="18.75" customHeight="1" x14ac:dyDescent="0.2">
      <c r="A11" s="20" t="s">
        <v>559</v>
      </c>
      <c r="B11" s="20" t="s">
        <v>38</v>
      </c>
      <c r="C11" s="21">
        <v>2007</v>
      </c>
      <c r="D11" s="21" t="s">
        <v>618</v>
      </c>
      <c r="E11" s="22" t="s">
        <v>203</v>
      </c>
      <c r="F11" s="23" t="s">
        <v>205</v>
      </c>
      <c r="G11" s="8">
        <v>3</v>
      </c>
      <c r="H11" s="20">
        <v>7</v>
      </c>
      <c r="I11" s="20"/>
      <c r="J11" s="34">
        <v>92.43</v>
      </c>
      <c r="K11" s="45">
        <v>4.99</v>
      </c>
      <c r="L11" s="20">
        <v>25</v>
      </c>
      <c r="M11" s="26">
        <v>1285.68</v>
      </c>
      <c r="N11" s="26"/>
      <c r="O11" s="34">
        <v>93.88</v>
      </c>
      <c r="P11" s="45">
        <v>4.8600000000000003</v>
      </c>
      <c r="Q11" s="20">
        <v>45</v>
      </c>
      <c r="R11" s="20"/>
      <c r="S11" s="27">
        <f t="shared" si="0"/>
        <v>0.29439060535135325</v>
      </c>
      <c r="T11" s="20">
        <v>-1</v>
      </c>
      <c r="U11" s="23">
        <f t="shared" si="1"/>
        <v>-0.29553985358919804</v>
      </c>
      <c r="V11" s="23">
        <f t="shared" si="2"/>
        <v>-0.29226819469337667</v>
      </c>
      <c r="W11" s="23">
        <f t="shared" si="3"/>
        <v>-0.29505109865913243</v>
      </c>
      <c r="X11" s="28"/>
      <c r="Y11" s="20">
        <v>2</v>
      </c>
      <c r="Z11" s="29" t="s">
        <v>31</v>
      </c>
      <c r="AA11" s="8" t="s">
        <v>32</v>
      </c>
      <c r="AB11" s="29" t="s">
        <v>31</v>
      </c>
    </row>
    <row r="12" spans="1:55" ht="18.75" customHeight="1" x14ac:dyDescent="0.2">
      <c r="A12" s="20" t="s">
        <v>264</v>
      </c>
      <c r="B12" s="20" t="s">
        <v>38</v>
      </c>
      <c r="C12" s="21">
        <v>2007</v>
      </c>
      <c r="D12" s="21" t="s">
        <v>618</v>
      </c>
      <c r="E12" s="22" t="s">
        <v>269</v>
      </c>
      <c r="F12" s="23" t="s">
        <v>277</v>
      </c>
      <c r="G12" s="20">
        <v>3</v>
      </c>
      <c r="H12" s="20">
        <v>8</v>
      </c>
      <c r="I12" s="20"/>
      <c r="J12" s="34">
        <v>98.2</v>
      </c>
      <c r="K12" s="45">
        <v>2.84</v>
      </c>
      <c r="L12" s="20">
        <v>25</v>
      </c>
      <c r="M12" s="26">
        <v>1285.68</v>
      </c>
      <c r="N12" s="26"/>
      <c r="O12" s="34">
        <v>98.6</v>
      </c>
      <c r="P12" s="45">
        <v>2.02</v>
      </c>
      <c r="Q12" s="20">
        <v>45</v>
      </c>
      <c r="R12" s="20"/>
      <c r="S12" s="27">
        <f t="shared" si="0"/>
        <v>0.16231488588586224</v>
      </c>
      <c r="T12" s="20">
        <v>-1</v>
      </c>
      <c r="U12" s="23">
        <f t="shared" si="1"/>
        <v>-0.17076341804693462</v>
      </c>
      <c r="V12" s="23">
        <f t="shared" si="2"/>
        <v>-0.16887304810545564</v>
      </c>
      <c r="W12" s="23">
        <f t="shared" si="3"/>
        <v>-0.19582770085126178</v>
      </c>
      <c r="X12" s="28"/>
      <c r="Y12" s="20">
        <v>2</v>
      </c>
      <c r="Z12" s="29" t="s">
        <v>31</v>
      </c>
      <c r="AA12" s="32" t="s">
        <v>234</v>
      </c>
      <c r="AB12" s="29" t="s">
        <v>31</v>
      </c>
    </row>
    <row r="13" spans="1:55" ht="18.75" customHeight="1" x14ac:dyDescent="0.2">
      <c r="A13" s="20" t="s">
        <v>264</v>
      </c>
      <c r="B13" s="20" t="s">
        <v>38</v>
      </c>
      <c r="C13" s="21">
        <v>2007</v>
      </c>
      <c r="D13" s="21" t="s">
        <v>618</v>
      </c>
      <c r="E13" s="22" t="s">
        <v>273</v>
      </c>
      <c r="F13" s="23" t="s">
        <v>279</v>
      </c>
      <c r="G13" s="20">
        <v>3</v>
      </c>
      <c r="H13" s="20">
        <v>9</v>
      </c>
      <c r="I13" s="20"/>
      <c r="J13" s="34">
        <v>97</v>
      </c>
      <c r="K13" s="45">
        <v>5.95</v>
      </c>
      <c r="L13" s="20">
        <v>25</v>
      </c>
      <c r="M13" s="26">
        <v>1285.68</v>
      </c>
      <c r="N13" s="26"/>
      <c r="O13" s="34">
        <v>98</v>
      </c>
      <c r="P13" s="45">
        <v>2.61</v>
      </c>
      <c r="Q13" s="20">
        <v>45</v>
      </c>
      <c r="R13" s="20"/>
      <c r="S13" s="27">
        <f t="shared" si="0"/>
        <v>0.21766252282644513</v>
      </c>
      <c r="T13" s="20">
        <v>-1</v>
      </c>
      <c r="U13" s="23">
        <f t="shared" si="1"/>
        <v>-0.24323176752709033</v>
      </c>
      <c r="V13" s="23">
        <f t="shared" si="2"/>
        <v>-0.24053916493453953</v>
      </c>
      <c r="W13" s="23">
        <f t="shared" si="3"/>
        <v>-0.37890034072754525</v>
      </c>
      <c r="X13" s="28"/>
      <c r="Y13" s="20">
        <v>2</v>
      </c>
      <c r="Z13" s="29" t="s">
        <v>31</v>
      </c>
      <c r="AA13" s="32" t="s">
        <v>234</v>
      </c>
      <c r="AB13" s="29" t="s">
        <v>31</v>
      </c>
    </row>
    <row r="14" spans="1:55" ht="18.75" customHeight="1" x14ac:dyDescent="0.2">
      <c r="A14" s="20" t="s">
        <v>383</v>
      </c>
      <c r="B14" s="20" t="s">
        <v>384</v>
      </c>
      <c r="C14" s="21">
        <v>2016</v>
      </c>
      <c r="D14" s="21" t="s">
        <v>618</v>
      </c>
      <c r="E14" s="22" t="s">
        <v>387</v>
      </c>
      <c r="F14" s="20" t="s">
        <v>388</v>
      </c>
      <c r="G14" s="20">
        <v>4</v>
      </c>
      <c r="H14" s="20">
        <v>10</v>
      </c>
      <c r="I14" s="20"/>
      <c r="J14" s="34">
        <v>7.1</v>
      </c>
      <c r="K14" s="45">
        <v>3.5</v>
      </c>
      <c r="L14" s="20">
        <v>56</v>
      </c>
      <c r="M14" s="26">
        <v>657</v>
      </c>
      <c r="N14" s="26"/>
      <c r="O14" s="34">
        <v>5.6</v>
      </c>
      <c r="P14" s="45">
        <v>3.4</v>
      </c>
      <c r="Q14" s="20">
        <v>53</v>
      </c>
      <c r="R14" s="20"/>
      <c r="S14" s="27">
        <f t="shared" si="0"/>
        <v>-0.43473695503786941</v>
      </c>
      <c r="T14" s="20">
        <v>1</v>
      </c>
      <c r="U14" s="23">
        <f t="shared" si="1"/>
        <v>-0.43456044915538544</v>
      </c>
      <c r="V14" s="23">
        <f t="shared" si="2"/>
        <v>-0.43150733124562862</v>
      </c>
      <c r="W14" s="23">
        <f t="shared" si="3"/>
        <v>-0.43807687009229918</v>
      </c>
      <c r="X14" s="28"/>
      <c r="Y14" s="20">
        <v>1</v>
      </c>
      <c r="Z14" s="29" t="s">
        <v>63</v>
      </c>
      <c r="AA14" s="8" t="s">
        <v>44</v>
      </c>
      <c r="AB14" s="29" t="s">
        <v>48</v>
      </c>
    </row>
    <row r="15" spans="1:55" ht="18.75" customHeight="1" x14ac:dyDescent="0.2">
      <c r="A15" s="20" t="s">
        <v>383</v>
      </c>
      <c r="B15" s="20" t="s">
        <v>384</v>
      </c>
      <c r="C15" s="21">
        <v>2016</v>
      </c>
      <c r="D15" s="21" t="s">
        <v>618</v>
      </c>
      <c r="E15" s="22" t="s">
        <v>391</v>
      </c>
      <c r="F15" s="20" t="s">
        <v>392</v>
      </c>
      <c r="G15" s="20">
        <v>4</v>
      </c>
      <c r="H15" s="20">
        <v>11</v>
      </c>
      <c r="I15" s="20"/>
      <c r="J15" s="34">
        <v>5.7</v>
      </c>
      <c r="K15" s="45">
        <v>3.1</v>
      </c>
      <c r="L15" s="20">
        <v>56</v>
      </c>
      <c r="M15" s="26">
        <v>657</v>
      </c>
      <c r="N15" s="26"/>
      <c r="O15" s="34">
        <v>4.5999999999999996</v>
      </c>
      <c r="P15" s="45">
        <v>2.5</v>
      </c>
      <c r="Q15" s="20">
        <v>53</v>
      </c>
      <c r="R15" s="20"/>
      <c r="S15" s="27">
        <f t="shared" si="0"/>
        <v>-0.39062145332563941</v>
      </c>
      <c r="T15" s="20">
        <v>1</v>
      </c>
      <c r="U15" s="23">
        <f t="shared" si="1"/>
        <v>-0.38946648469174233</v>
      </c>
      <c r="V15" s="23">
        <f t="shared" si="2"/>
        <v>-0.38673018620444671</v>
      </c>
      <c r="W15" s="23">
        <f t="shared" si="3"/>
        <v>-0.43690866510538662</v>
      </c>
      <c r="X15" s="28"/>
      <c r="Y15" s="20">
        <v>1</v>
      </c>
      <c r="Z15" s="29" t="s">
        <v>63</v>
      </c>
      <c r="AA15" s="8" t="s">
        <v>44</v>
      </c>
      <c r="AB15" s="29" t="s">
        <v>48</v>
      </c>
    </row>
    <row r="16" spans="1:55" ht="18.75" customHeight="1" x14ac:dyDescent="0.2">
      <c r="A16" s="20" t="s">
        <v>146</v>
      </c>
      <c r="B16" s="20" t="s">
        <v>159</v>
      </c>
      <c r="C16" s="21">
        <v>2017</v>
      </c>
      <c r="D16" s="21" t="s">
        <v>618</v>
      </c>
      <c r="E16" s="22" t="s">
        <v>160</v>
      </c>
      <c r="F16" s="20" t="s">
        <v>161</v>
      </c>
      <c r="G16" s="20">
        <v>4</v>
      </c>
      <c r="H16" s="20">
        <v>12</v>
      </c>
      <c r="I16" s="20"/>
      <c r="J16" s="51">
        <v>24.6</v>
      </c>
      <c r="K16" s="25">
        <v>14.7</v>
      </c>
      <c r="L16" s="21">
        <v>57</v>
      </c>
      <c r="M16" s="26">
        <v>655</v>
      </c>
      <c r="N16" s="26"/>
      <c r="O16" s="24">
        <v>17.3</v>
      </c>
      <c r="P16" s="25">
        <v>10.3</v>
      </c>
      <c r="Q16" s="21">
        <v>57</v>
      </c>
      <c r="R16" s="21"/>
      <c r="S16" s="27">
        <f t="shared" si="0"/>
        <v>-0.57515986004748754</v>
      </c>
      <c r="T16" s="20">
        <v>1</v>
      </c>
      <c r="U16" s="23">
        <f t="shared" si="1"/>
        <v>-0.57515986004748754</v>
      </c>
      <c r="V16" s="23">
        <f t="shared" si="2"/>
        <v>-0.57129972675857821</v>
      </c>
      <c r="W16" s="23">
        <f t="shared" si="3"/>
        <v>-0.70398123411741709</v>
      </c>
      <c r="X16" s="28"/>
      <c r="Y16" s="20">
        <v>1</v>
      </c>
      <c r="Z16" s="29" t="s">
        <v>63</v>
      </c>
      <c r="AA16" s="42" t="s">
        <v>44</v>
      </c>
      <c r="AB16" s="29" t="s">
        <v>48</v>
      </c>
    </row>
    <row r="17" spans="1:28" ht="18.75" customHeight="1" x14ac:dyDescent="0.2">
      <c r="A17" s="20" t="s">
        <v>214</v>
      </c>
      <c r="B17" s="20" t="s">
        <v>159</v>
      </c>
      <c r="C17" s="21">
        <v>2017</v>
      </c>
      <c r="D17" s="21" t="s">
        <v>618</v>
      </c>
      <c r="E17" s="22" t="s">
        <v>219</v>
      </c>
      <c r="F17" s="23" t="s">
        <v>220</v>
      </c>
      <c r="G17" s="20">
        <v>4</v>
      </c>
      <c r="H17" s="20">
        <v>13</v>
      </c>
      <c r="I17" s="20"/>
      <c r="J17" s="34">
        <v>4.5</v>
      </c>
      <c r="K17" s="45">
        <v>2.6</v>
      </c>
      <c r="L17" s="20">
        <v>57</v>
      </c>
      <c r="M17" s="26">
        <v>655</v>
      </c>
      <c r="N17" s="26"/>
      <c r="O17" s="34">
        <v>3.9</v>
      </c>
      <c r="P17" s="45">
        <v>2.6</v>
      </c>
      <c r="Q17" s="20">
        <v>57</v>
      </c>
      <c r="R17" s="20"/>
      <c r="S17" s="27">
        <f t="shared" si="0"/>
        <v>-0.23076923076923078</v>
      </c>
      <c r="T17" s="20">
        <v>1</v>
      </c>
      <c r="U17" s="23">
        <f t="shared" si="1"/>
        <v>-0.23076923076923078</v>
      </c>
      <c r="V17" s="23">
        <f t="shared" si="2"/>
        <v>-0.22922044398554467</v>
      </c>
      <c r="W17" s="23">
        <f t="shared" si="3"/>
        <v>-0.22922044398554467</v>
      </c>
      <c r="X17" s="28"/>
      <c r="Y17" s="20">
        <v>1</v>
      </c>
      <c r="Z17" s="29" t="s">
        <v>63</v>
      </c>
      <c r="AA17" s="8" t="s">
        <v>32</v>
      </c>
      <c r="AB17" s="29" t="s">
        <v>48</v>
      </c>
    </row>
    <row r="18" spans="1:28" ht="18.75" customHeight="1" x14ac:dyDescent="0.2">
      <c r="A18" s="20" t="s">
        <v>305</v>
      </c>
      <c r="B18" s="20" t="s">
        <v>159</v>
      </c>
      <c r="C18" s="21">
        <v>2017</v>
      </c>
      <c r="D18" s="21" t="s">
        <v>618</v>
      </c>
      <c r="E18" s="22" t="s">
        <v>306</v>
      </c>
      <c r="F18" s="20" t="s">
        <v>307</v>
      </c>
      <c r="G18" s="20">
        <v>4</v>
      </c>
      <c r="H18" s="20">
        <v>14</v>
      </c>
      <c r="I18" s="20"/>
      <c r="J18" s="34">
        <v>1.7</v>
      </c>
      <c r="K18" s="45">
        <v>2.4</v>
      </c>
      <c r="L18" s="20">
        <v>57</v>
      </c>
      <c r="M18" s="26">
        <v>655</v>
      </c>
      <c r="N18" s="26"/>
      <c r="O18" s="34">
        <v>1.7</v>
      </c>
      <c r="P18" s="45">
        <v>2.2000000000000002</v>
      </c>
      <c r="Q18" s="20">
        <v>57</v>
      </c>
      <c r="R18" s="20"/>
      <c r="S18" s="27">
        <f t="shared" si="0"/>
        <v>0</v>
      </c>
      <c r="T18" s="20">
        <v>1</v>
      </c>
      <c r="U18" s="23">
        <f t="shared" si="1"/>
        <v>0</v>
      </c>
      <c r="V18" s="23">
        <f t="shared" si="2"/>
        <v>0</v>
      </c>
      <c r="W18" s="23">
        <f t="shared" si="3"/>
        <v>0</v>
      </c>
      <c r="X18" s="28"/>
      <c r="Y18" s="20">
        <v>1</v>
      </c>
      <c r="Z18" s="29" t="s">
        <v>63</v>
      </c>
      <c r="AA18" s="8" t="s">
        <v>44</v>
      </c>
      <c r="AB18" s="29" t="s">
        <v>48</v>
      </c>
    </row>
    <row r="19" spans="1:28" ht="18.75" customHeight="1" x14ac:dyDescent="0.2">
      <c r="A19" s="20" t="s">
        <v>305</v>
      </c>
      <c r="B19" s="20" t="s">
        <v>159</v>
      </c>
      <c r="C19" s="21">
        <v>2017</v>
      </c>
      <c r="D19" s="21" t="s">
        <v>618</v>
      </c>
      <c r="E19" s="22" t="s">
        <v>308</v>
      </c>
      <c r="F19" s="20" t="s">
        <v>309</v>
      </c>
      <c r="G19" s="20">
        <v>4</v>
      </c>
      <c r="H19" s="20">
        <v>15</v>
      </c>
      <c r="I19" s="20"/>
      <c r="J19" s="34">
        <v>10.3</v>
      </c>
      <c r="K19" s="45">
        <v>6.6</v>
      </c>
      <c r="L19" s="20">
        <v>57</v>
      </c>
      <c r="M19" s="26">
        <v>655</v>
      </c>
      <c r="N19" s="26"/>
      <c r="O19" s="34">
        <v>9.1999999999999993</v>
      </c>
      <c r="P19" s="45">
        <v>8</v>
      </c>
      <c r="Q19" s="20">
        <v>57</v>
      </c>
      <c r="R19" s="20"/>
      <c r="S19" s="27">
        <f t="shared" si="0"/>
        <v>-0.14999690092249193</v>
      </c>
      <c r="T19" s="20">
        <v>1</v>
      </c>
      <c r="U19" s="23">
        <f t="shared" si="1"/>
        <v>-0.14999690092249193</v>
      </c>
      <c r="V19" s="23">
        <f t="shared" si="2"/>
        <v>-0.14899021031227386</v>
      </c>
      <c r="W19" s="23">
        <f t="shared" si="3"/>
        <v>-0.13657718120805387</v>
      </c>
      <c r="X19" s="28"/>
      <c r="Y19" s="20">
        <v>1</v>
      </c>
      <c r="Z19" s="29" t="s">
        <v>63</v>
      </c>
      <c r="AA19" s="8" t="s">
        <v>44</v>
      </c>
      <c r="AB19" s="29" t="s">
        <v>48</v>
      </c>
    </row>
    <row r="20" spans="1:28" ht="18.75" customHeight="1" x14ac:dyDescent="0.2">
      <c r="A20" s="20" t="s">
        <v>101</v>
      </c>
      <c r="B20" s="20" t="s">
        <v>60</v>
      </c>
      <c r="C20" s="21">
        <v>2017</v>
      </c>
      <c r="D20" s="21" t="s">
        <v>618</v>
      </c>
      <c r="E20" s="22" t="s">
        <v>102</v>
      </c>
      <c r="F20" s="20" t="s">
        <v>103</v>
      </c>
      <c r="G20" s="20">
        <v>5</v>
      </c>
      <c r="H20" s="20">
        <v>16</v>
      </c>
      <c r="I20" s="20"/>
      <c r="J20" s="24">
        <v>0.5</v>
      </c>
      <c r="K20" s="25">
        <v>1.1000000000000001</v>
      </c>
      <c r="L20" s="21">
        <v>37</v>
      </c>
      <c r="M20" s="26">
        <v>720</v>
      </c>
      <c r="N20" s="26"/>
      <c r="O20" s="24">
        <v>0.8</v>
      </c>
      <c r="P20" s="25">
        <v>1</v>
      </c>
      <c r="Q20" s="21">
        <v>30</v>
      </c>
      <c r="R20" s="21"/>
      <c r="S20" s="27">
        <f t="shared" si="0"/>
        <v>0.2853908964926965</v>
      </c>
      <c r="T20" s="20">
        <v>1</v>
      </c>
      <c r="U20" s="23">
        <f t="shared" si="1"/>
        <v>0.2839417770341558</v>
      </c>
      <c r="V20" s="23">
        <f t="shared" si="2"/>
        <v>0.28065287614186829</v>
      </c>
      <c r="W20" s="23">
        <f t="shared" si="3"/>
        <v>0.29652509652509657</v>
      </c>
      <c r="X20" s="28"/>
      <c r="Y20" s="20">
        <v>1</v>
      </c>
      <c r="Z20" s="29" t="s">
        <v>63</v>
      </c>
      <c r="AA20" s="8" t="s">
        <v>32</v>
      </c>
      <c r="AB20" s="29" t="s">
        <v>48</v>
      </c>
    </row>
    <row r="21" spans="1:28" ht="18.75" customHeight="1" x14ac:dyDescent="0.2">
      <c r="A21" s="20" t="s">
        <v>101</v>
      </c>
      <c r="B21" s="20" t="s">
        <v>60</v>
      </c>
      <c r="C21" s="21">
        <v>2017</v>
      </c>
      <c r="D21" s="21" t="s">
        <v>618</v>
      </c>
      <c r="E21" s="22" t="s">
        <v>134</v>
      </c>
      <c r="F21" s="20" t="s">
        <v>135</v>
      </c>
      <c r="G21" s="20">
        <v>5</v>
      </c>
      <c r="H21" s="20">
        <v>17</v>
      </c>
      <c r="I21" s="20"/>
      <c r="J21" s="24">
        <v>1.3</v>
      </c>
      <c r="K21" s="25">
        <v>2</v>
      </c>
      <c r="L21" s="21">
        <v>37</v>
      </c>
      <c r="M21" s="26">
        <v>720</v>
      </c>
      <c r="N21" s="26"/>
      <c r="O21" s="24">
        <v>1.1000000000000001</v>
      </c>
      <c r="P21" s="25">
        <v>1.6</v>
      </c>
      <c r="Q21" s="21">
        <v>30</v>
      </c>
      <c r="R21" s="21"/>
      <c r="S21" s="27">
        <f t="shared" si="0"/>
        <v>-0.11043152607484651</v>
      </c>
      <c r="T21" s="20">
        <v>1</v>
      </c>
      <c r="U21" s="23">
        <f t="shared" si="1"/>
        <v>-0.10914893373767046</v>
      </c>
      <c r="V21" s="23">
        <f t="shared" si="2"/>
        <v>-0.10788466037391366</v>
      </c>
      <c r="W21" s="23">
        <f t="shared" si="3"/>
        <v>-0.12355212355212353</v>
      </c>
      <c r="X21" s="28"/>
      <c r="Y21" s="20">
        <v>1</v>
      </c>
      <c r="Z21" s="29" t="s">
        <v>63</v>
      </c>
      <c r="AA21" s="8" t="s">
        <v>32</v>
      </c>
      <c r="AB21" s="29" t="s">
        <v>48</v>
      </c>
    </row>
    <row r="22" spans="1:28" ht="18.75" customHeight="1" x14ac:dyDescent="0.2">
      <c r="A22" s="20" t="s">
        <v>305</v>
      </c>
      <c r="B22" s="20" t="s">
        <v>60</v>
      </c>
      <c r="C22" s="21">
        <v>2017</v>
      </c>
      <c r="D22" s="21" t="s">
        <v>618</v>
      </c>
      <c r="E22" s="22" t="s">
        <v>620</v>
      </c>
      <c r="F22" s="20" t="s">
        <v>311</v>
      </c>
      <c r="G22" s="20">
        <v>5</v>
      </c>
      <c r="H22" s="20">
        <v>18</v>
      </c>
      <c r="I22" s="20"/>
      <c r="J22" s="34">
        <v>0.5</v>
      </c>
      <c r="K22" s="45">
        <v>0.8</v>
      </c>
      <c r="L22" s="20">
        <v>37</v>
      </c>
      <c r="M22" s="26">
        <v>720</v>
      </c>
      <c r="N22" s="26"/>
      <c r="O22" s="34">
        <v>0.4</v>
      </c>
      <c r="P22" s="45">
        <v>0.8</v>
      </c>
      <c r="Q22" s="20">
        <v>30</v>
      </c>
      <c r="R22" s="20"/>
      <c r="S22" s="27">
        <f t="shared" si="0"/>
        <v>-0.12499999999999997</v>
      </c>
      <c r="T22" s="20">
        <v>1</v>
      </c>
      <c r="U22" s="23">
        <f t="shared" si="1"/>
        <v>-0.12499999999999997</v>
      </c>
      <c r="V22" s="23">
        <f t="shared" si="2"/>
        <v>-0.12355212355212353</v>
      </c>
      <c r="W22" s="23">
        <f t="shared" si="3"/>
        <v>-0.12355212355212353</v>
      </c>
      <c r="X22" s="28"/>
      <c r="Y22" s="20">
        <v>1</v>
      </c>
      <c r="Z22" s="29" t="s">
        <v>63</v>
      </c>
      <c r="AA22" s="8" t="s">
        <v>32</v>
      </c>
      <c r="AB22" s="29" t="s">
        <v>48</v>
      </c>
    </row>
    <row r="23" spans="1:28" ht="18.75" customHeight="1" x14ac:dyDescent="0.2">
      <c r="A23" s="20" t="s">
        <v>305</v>
      </c>
      <c r="B23" s="20" t="s">
        <v>60</v>
      </c>
      <c r="C23" s="21">
        <v>2017</v>
      </c>
      <c r="D23" s="21" t="s">
        <v>618</v>
      </c>
      <c r="E23" s="22" t="s">
        <v>312</v>
      </c>
      <c r="F23" s="20" t="s">
        <v>313</v>
      </c>
      <c r="G23" s="20">
        <v>5</v>
      </c>
      <c r="H23" s="20">
        <v>19</v>
      </c>
      <c r="I23" s="20"/>
      <c r="J23" s="34">
        <v>0.8</v>
      </c>
      <c r="K23" s="45">
        <v>1.1000000000000001</v>
      </c>
      <c r="L23" s="20">
        <v>37</v>
      </c>
      <c r="M23" s="26">
        <v>720</v>
      </c>
      <c r="N23" s="26"/>
      <c r="O23" s="34">
        <v>0.6</v>
      </c>
      <c r="P23" s="45">
        <v>0.6</v>
      </c>
      <c r="Q23" s="20">
        <v>30</v>
      </c>
      <c r="R23" s="20"/>
      <c r="S23" s="27">
        <f t="shared" si="0"/>
        <v>-0.22573305919324019</v>
      </c>
      <c r="T23" s="20">
        <v>1</v>
      </c>
      <c r="U23" s="23">
        <f t="shared" si="1"/>
        <v>-0.21942686286812782</v>
      </c>
      <c r="V23" s="23">
        <f t="shared" si="2"/>
        <v>-0.21688523897390241</v>
      </c>
      <c r="W23" s="23">
        <f t="shared" si="3"/>
        <v>-0.32947232947232963</v>
      </c>
      <c r="X23" s="28"/>
      <c r="Y23" s="20">
        <v>1</v>
      </c>
      <c r="Z23" s="29" t="s">
        <v>63</v>
      </c>
      <c r="AA23" s="8" t="s">
        <v>32</v>
      </c>
      <c r="AB23" s="29" t="s">
        <v>48</v>
      </c>
    </row>
    <row r="24" spans="1:28" ht="18.75" customHeight="1" x14ac:dyDescent="0.2">
      <c r="A24" s="20" t="s">
        <v>305</v>
      </c>
      <c r="B24" s="20" t="s">
        <v>60</v>
      </c>
      <c r="C24" s="21">
        <v>2017</v>
      </c>
      <c r="D24" s="21" t="s">
        <v>618</v>
      </c>
      <c r="E24" s="22" t="s">
        <v>314</v>
      </c>
      <c r="F24" s="20" t="s">
        <v>315</v>
      </c>
      <c r="G24" s="20">
        <v>5</v>
      </c>
      <c r="H24" s="20">
        <v>20</v>
      </c>
      <c r="I24" s="20"/>
      <c r="J24" s="34">
        <v>1.6</v>
      </c>
      <c r="K24" s="45">
        <v>2.6</v>
      </c>
      <c r="L24" s="20">
        <v>37</v>
      </c>
      <c r="M24" s="26">
        <v>720</v>
      </c>
      <c r="N24" s="26"/>
      <c r="O24" s="34">
        <v>2</v>
      </c>
      <c r="P24" s="45">
        <v>2.2999999999999998</v>
      </c>
      <c r="Q24" s="20">
        <v>30</v>
      </c>
      <c r="R24" s="20"/>
      <c r="S24" s="27">
        <f t="shared" si="0"/>
        <v>0.16296016874534205</v>
      </c>
      <c r="T24" s="20">
        <v>1</v>
      </c>
      <c r="U24" s="23">
        <f t="shared" si="1"/>
        <v>0.16190015178379852</v>
      </c>
      <c r="V24" s="23">
        <f t="shared" si="2"/>
        <v>0.16002486045039546</v>
      </c>
      <c r="W24" s="23">
        <f t="shared" si="3"/>
        <v>0.17189860668121534</v>
      </c>
      <c r="X24" s="28"/>
      <c r="Y24" s="20">
        <v>1</v>
      </c>
      <c r="Z24" s="29" t="s">
        <v>63</v>
      </c>
      <c r="AA24" s="8" t="s">
        <v>32</v>
      </c>
      <c r="AB24" s="29" t="s">
        <v>48</v>
      </c>
    </row>
    <row r="25" spans="1:28" ht="18.75" customHeight="1" x14ac:dyDescent="0.2">
      <c r="A25" s="20" t="s">
        <v>305</v>
      </c>
      <c r="B25" s="20" t="s">
        <v>60</v>
      </c>
      <c r="C25" s="21">
        <v>2017</v>
      </c>
      <c r="D25" s="21" t="s">
        <v>618</v>
      </c>
      <c r="E25" s="22" t="s">
        <v>316</v>
      </c>
      <c r="F25" s="20" t="s">
        <v>317</v>
      </c>
      <c r="G25" s="20">
        <v>5</v>
      </c>
      <c r="H25" s="20">
        <v>21</v>
      </c>
      <c r="I25" s="20"/>
      <c r="J25" s="34">
        <v>2.4</v>
      </c>
      <c r="K25" s="45">
        <v>2.7</v>
      </c>
      <c r="L25" s="20">
        <v>37</v>
      </c>
      <c r="M25" s="26">
        <v>720</v>
      </c>
      <c r="N25" s="26"/>
      <c r="O25" s="34">
        <v>3.1</v>
      </c>
      <c r="P25" s="45">
        <v>4.4000000000000004</v>
      </c>
      <c r="Q25" s="20">
        <v>30</v>
      </c>
      <c r="R25" s="20"/>
      <c r="S25" s="27">
        <f t="shared" si="0"/>
        <v>0.19176283037764785</v>
      </c>
      <c r="T25" s="20">
        <v>1</v>
      </c>
      <c r="U25" s="23">
        <f t="shared" si="1"/>
        <v>0.19661775735215331</v>
      </c>
      <c r="V25" s="23">
        <f t="shared" si="2"/>
        <v>0.19434033159131756</v>
      </c>
      <c r="W25" s="23">
        <f t="shared" si="3"/>
        <v>0.15724815724815727</v>
      </c>
      <c r="X25" s="28"/>
      <c r="Y25" s="20">
        <v>1</v>
      </c>
      <c r="Z25" s="29" t="s">
        <v>63</v>
      </c>
      <c r="AA25" s="8" t="s">
        <v>32</v>
      </c>
      <c r="AB25" s="29" t="s">
        <v>48</v>
      </c>
    </row>
    <row r="26" spans="1:28" ht="23.1" customHeight="1" x14ac:dyDescent="0.2">
      <c r="A26" s="20" t="s">
        <v>514</v>
      </c>
      <c r="B26" s="20" t="s">
        <v>60</v>
      </c>
      <c r="C26" s="21">
        <v>2017</v>
      </c>
      <c r="D26" s="21" t="s">
        <v>618</v>
      </c>
      <c r="E26" s="22" t="s">
        <v>363</v>
      </c>
      <c r="F26" s="20" t="s">
        <v>364</v>
      </c>
      <c r="G26" s="20">
        <v>5</v>
      </c>
      <c r="H26" s="20">
        <v>22</v>
      </c>
      <c r="I26" s="20"/>
      <c r="J26" s="24">
        <v>8.5</v>
      </c>
      <c r="K26" s="25">
        <v>11</v>
      </c>
      <c r="L26" s="21">
        <v>37</v>
      </c>
      <c r="M26" s="26">
        <v>720</v>
      </c>
      <c r="N26" s="26"/>
      <c r="O26" s="24">
        <v>7.1</v>
      </c>
      <c r="P26" s="25">
        <v>5.0999999999999996</v>
      </c>
      <c r="Q26" s="21">
        <v>30</v>
      </c>
      <c r="R26" s="21"/>
      <c r="S26" s="27">
        <f t="shared" si="0"/>
        <v>-0.16329376207040713</v>
      </c>
      <c r="T26" s="20">
        <v>1</v>
      </c>
      <c r="U26" s="23">
        <f t="shared" si="1"/>
        <v>-0.15789265983573214</v>
      </c>
      <c r="V26" s="23">
        <f t="shared" si="2"/>
        <v>-0.15606378732798235</v>
      </c>
      <c r="W26" s="23">
        <f t="shared" si="3"/>
        <v>-0.27133015368309493</v>
      </c>
      <c r="X26" s="28"/>
      <c r="Y26" s="20">
        <v>1</v>
      </c>
      <c r="Z26" s="29" t="s">
        <v>63</v>
      </c>
      <c r="AA26" s="8" t="s">
        <v>32</v>
      </c>
      <c r="AB26" s="29" t="s">
        <v>48</v>
      </c>
    </row>
    <row r="27" spans="1:28" ht="18" customHeight="1" x14ac:dyDescent="0.2">
      <c r="A27" s="20" t="s">
        <v>514</v>
      </c>
      <c r="B27" s="20" t="s">
        <v>60</v>
      </c>
      <c r="C27" s="21">
        <v>2017</v>
      </c>
      <c r="D27" s="21" t="s">
        <v>618</v>
      </c>
      <c r="E27" s="22" t="s">
        <v>365</v>
      </c>
      <c r="F27" s="20" t="s">
        <v>366</v>
      </c>
      <c r="G27" s="20">
        <v>5</v>
      </c>
      <c r="H27" s="20">
        <v>23</v>
      </c>
      <c r="I27" s="20"/>
      <c r="J27" s="24">
        <v>0.1</v>
      </c>
      <c r="K27" s="25">
        <v>0.2</v>
      </c>
      <c r="L27" s="21">
        <v>37</v>
      </c>
      <c r="M27" s="26">
        <v>720</v>
      </c>
      <c r="N27" s="26"/>
      <c r="O27" s="24">
        <v>0.1</v>
      </c>
      <c r="P27" s="25">
        <v>0.2</v>
      </c>
      <c r="Q27" s="21">
        <v>30</v>
      </c>
      <c r="R27" s="21"/>
      <c r="S27" s="27">
        <f t="shared" si="0"/>
        <v>0</v>
      </c>
      <c r="T27" s="20">
        <v>1</v>
      </c>
      <c r="U27" s="23">
        <f t="shared" si="1"/>
        <v>0</v>
      </c>
      <c r="V27" s="23">
        <f t="shared" si="2"/>
        <v>0</v>
      </c>
      <c r="W27" s="23">
        <f t="shared" si="3"/>
        <v>0</v>
      </c>
      <c r="X27" s="28"/>
      <c r="Y27" s="20">
        <v>1</v>
      </c>
      <c r="Z27" s="29" t="s">
        <v>63</v>
      </c>
      <c r="AA27" s="8" t="s">
        <v>32</v>
      </c>
      <c r="AB27" s="29" t="s">
        <v>48</v>
      </c>
    </row>
    <row r="28" spans="1:28" ht="18.75" customHeight="1" x14ac:dyDescent="0.2">
      <c r="A28" s="20" t="s">
        <v>514</v>
      </c>
      <c r="B28" s="20" t="s">
        <v>60</v>
      </c>
      <c r="C28" s="21">
        <v>2017</v>
      </c>
      <c r="D28" s="21" t="s">
        <v>618</v>
      </c>
      <c r="E28" s="22" t="s">
        <v>367</v>
      </c>
      <c r="F28" s="20" t="s">
        <v>368</v>
      </c>
      <c r="G28" s="20">
        <v>5</v>
      </c>
      <c r="H28" s="20">
        <v>24</v>
      </c>
      <c r="I28" s="20"/>
      <c r="J28" s="24">
        <v>0.7</v>
      </c>
      <c r="K28" s="25">
        <v>1</v>
      </c>
      <c r="L28" s="21">
        <v>37</v>
      </c>
      <c r="M28" s="26">
        <v>720</v>
      </c>
      <c r="N28" s="26"/>
      <c r="O28" s="24">
        <v>0.6</v>
      </c>
      <c r="P28" s="25">
        <v>0.8</v>
      </c>
      <c r="Q28" s="21">
        <v>30</v>
      </c>
      <c r="R28" s="21"/>
      <c r="S28" s="27">
        <f t="shared" si="0"/>
        <v>-0.11043152607484651</v>
      </c>
      <c r="T28" s="20">
        <v>1</v>
      </c>
      <c r="U28" s="23">
        <f t="shared" si="1"/>
        <v>-0.10914893373767046</v>
      </c>
      <c r="V28" s="23">
        <f t="shared" si="2"/>
        <v>-0.10788466037391366</v>
      </c>
      <c r="W28" s="23">
        <f t="shared" si="3"/>
        <v>-0.12355212355212353</v>
      </c>
      <c r="X28" s="28"/>
      <c r="Y28" s="20">
        <v>1</v>
      </c>
      <c r="Z28" s="29" t="s">
        <v>63</v>
      </c>
      <c r="AA28" s="8" t="s">
        <v>32</v>
      </c>
      <c r="AB28" s="29" t="s">
        <v>48</v>
      </c>
    </row>
    <row r="29" spans="1:28" ht="18.75" customHeight="1" x14ac:dyDescent="0.2">
      <c r="A29" s="20" t="s">
        <v>514</v>
      </c>
      <c r="B29" s="20" t="s">
        <v>60</v>
      </c>
      <c r="C29" s="21">
        <v>2017</v>
      </c>
      <c r="D29" s="21" t="s">
        <v>618</v>
      </c>
      <c r="E29" s="22" t="s">
        <v>369</v>
      </c>
      <c r="F29" s="20" t="s">
        <v>370</v>
      </c>
      <c r="G29" s="20">
        <v>5</v>
      </c>
      <c r="H29" s="20">
        <v>25</v>
      </c>
      <c r="I29" s="20"/>
      <c r="J29" s="24">
        <v>7.9</v>
      </c>
      <c r="K29" s="25">
        <v>10.8</v>
      </c>
      <c r="L29" s="21">
        <v>37</v>
      </c>
      <c r="M29" s="26">
        <v>720</v>
      </c>
      <c r="N29" s="26"/>
      <c r="O29" s="24">
        <v>5.8</v>
      </c>
      <c r="P29" s="25">
        <v>5.7</v>
      </c>
      <c r="Q29" s="21">
        <v>30</v>
      </c>
      <c r="R29" s="21"/>
      <c r="S29" s="27">
        <f t="shared" si="0"/>
        <v>-0.24319339952292043</v>
      </c>
      <c r="T29" s="20">
        <v>1</v>
      </c>
      <c r="U29" s="23">
        <f t="shared" si="1"/>
        <v>-0.23612480474013478</v>
      </c>
      <c r="V29" s="23">
        <f t="shared" si="2"/>
        <v>-0.23338976839179346</v>
      </c>
      <c r="W29" s="23">
        <f t="shared" si="3"/>
        <v>-0.36415362731152212</v>
      </c>
      <c r="X29" s="28"/>
      <c r="Y29" s="20">
        <v>1</v>
      </c>
      <c r="Z29" s="29" t="s">
        <v>63</v>
      </c>
      <c r="AA29" s="8" t="s">
        <v>32</v>
      </c>
      <c r="AB29" s="29" t="s">
        <v>48</v>
      </c>
    </row>
    <row r="30" spans="1:28" ht="18.75" customHeight="1" x14ac:dyDescent="0.2">
      <c r="A30" s="20" t="s">
        <v>383</v>
      </c>
      <c r="B30" s="20" t="s">
        <v>397</v>
      </c>
      <c r="C30" s="21">
        <v>2020</v>
      </c>
      <c r="D30" s="21" t="s">
        <v>618</v>
      </c>
      <c r="E30" s="22" t="s">
        <v>401</v>
      </c>
      <c r="F30" s="20" t="s">
        <v>401</v>
      </c>
      <c r="G30" s="20">
        <v>5</v>
      </c>
      <c r="H30" s="20">
        <v>26</v>
      </c>
      <c r="I30" s="20"/>
      <c r="J30" s="34">
        <v>18.5</v>
      </c>
      <c r="K30" s="45">
        <v>2</v>
      </c>
      <c r="L30" s="20">
        <v>20</v>
      </c>
      <c r="M30" s="26">
        <v>670</v>
      </c>
      <c r="N30" s="26"/>
      <c r="O30" s="34">
        <v>18.2</v>
      </c>
      <c r="P30" s="45">
        <v>2</v>
      </c>
      <c r="Q30" s="20">
        <v>25</v>
      </c>
      <c r="R30" s="20"/>
      <c r="S30" s="27">
        <f t="shared" si="0"/>
        <v>-0.15000000000000036</v>
      </c>
      <c r="T30" s="20">
        <v>-1</v>
      </c>
      <c r="U30" s="23">
        <f t="shared" si="1"/>
        <v>0.15000000000000036</v>
      </c>
      <c r="V30" s="23">
        <f t="shared" si="2"/>
        <v>0.14736842105263193</v>
      </c>
      <c r="W30" s="23">
        <f t="shared" si="3"/>
        <v>0.14736842105263193</v>
      </c>
      <c r="X30" s="28"/>
      <c r="Y30" s="20">
        <v>2</v>
      </c>
      <c r="Z30" s="29" t="s">
        <v>31</v>
      </c>
      <c r="AA30" s="8" t="s">
        <v>32</v>
      </c>
      <c r="AB30" s="29" t="s">
        <v>31</v>
      </c>
    </row>
    <row r="31" spans="1:28" ht="18.75" customHeight="1" x14ac:dyDescent="0.2">
      <c r="A31" s="20" t="s">
        <v>383</v>
      </c>
      <c r="B31" s="20" t="s">
        <v>397</v>
      </c>
      <c r="C31" s="21">
        <v>2020</v>
      </c>
      <c r="D31" s="21" t="s">
        <v>618</v>
      </c>
      <c r="E31" s="22" t="s">
        <v>404</v>
      </c>
      <c r="F31" s="20" t="s">
        <v>404</v>
      </c>
      <c r="G31" s="20">
        <v>5</v>
      </c>
      <c r="H31" s="20">
        <v>27</v>
      </c>
      <c r="I31" s="20"/>
      <c r="J31" s="34">
        <v>23.1</v>
      </c>
      <c r="K31" s="45">
        <v>2.9</v>
      </c>
      <c r="L31" s="20">
        <v>20</v>
      </c>
      <c r="M31" s="26">
        <v>670</v>
      </c>
      <c r="N31" s="26"/>
      <c r="O31" s="34">
        <v>22.6</v>
      </c>
      <c r="P31" s="45">
        <v>4.8</v>
      </c>
      <c r="Q31" s="20">
        <v>25</v>
      </c>
      <c r="R31" s="20"/>
      <c r="S31" s="27">
        <f t="shared" si="0"/>
        <v>-0.12608826746517235</v>
      </c>
      <c r="T31" s="20">
        <v>-1</v>
      </c>
      <c r="U31" s="23">
        <f t="shared" si="1"/>
        <v>0.12281053382556326</v>
      </c>
      <c r="V31" s="23">
        <f t="shared" si="2"/>
        <v>0.12065596305669372</v>
      </c>
      <c r="W31" s="23">
        <f t="shared" si="3"/>
        <v>0.1023391812865497</v>
      </c>
      <c r="X31" s="28"/>
      <c r="Y31" s="20">
        <v>2</v>
      </c>
      <c r="Z31" s="29" t="s">
        <v>31</v>
      </c>
      <c r="AA31" s="8" t="s">
        <v>32</v>
      </c>
      <c r="AB31" s="29" t="s">
        <v>31</v>
      </c>
    </row>
    <row r="32" spans="1:28" ht="18.75" customHeight="1" x14ac:dyDescent="0.2">
      <c r="A32" s="20" t="s">
        <v>101</v>
      </c>
      <c r="B32" s="20" t="s">
        <v>127</v>
      </c>
      <c r="C32" s="21">
        <v>2018</v>
      </c>
      <c r="D32" s="21" t="s">
        <v>618</v>
      </c>
      <c r="E32" s="22" t="s">
        <v>128</v>
      </c>
      <c r="F32" s="20" t="s">
        <v>129</v>
      </c>
      <c r="G32" s="20">
        <v>5</v>
      </c>
      <c r="H32" s="20">
        <v>28</v>
      </c>
      <c r="I32" s="20"/>
      <c r="J32" s="24">
        <v>1.5</v>
      </c>
      <c r="K32" s="25">
        <v>2</v>
      </c>
      <c r="L32" s="21">
        <v>15</v>
      </c>
      <c r="M32" s="26">
        <v>751.2</v>
      </c>
      <c r="N32" s="26"/>
      <c r="O32" s="24">
        <v>1</v>
      </c>
      <c r="P32" s="25">
        <v>1.8</v>
      </c>
      <c r="Q32" s="21">
        <v>24</v>
      </c>
      <c r="R32" s="21"/>
      <c r="S32" s="27">
        <f t="shared" si="0"/>
        <v>-0.26279416561381835</v>
      </c>
      <c r="T32" s="20">
        <v>1</v>
      </c>
      <c r="U32" s="23">
        <f t="shared" si="1"/>
        <v>-0.26621488443561131</v>
      </c>
      <c r="V32" s="23">
        <f t="shared" si="2"/>
        <v>-0.26078192761039476</v>
      </c>
      <c r="W32" s="23">
        <f t="shared" si="3"/>
        <v>-0.27210884353741499</v>
      </c>
      <c r="X32" s="28"/>
      <c r="Y32" s="20">
        <v>1</v>
      </c>
      <c r="Z32" s="29" t="s">
        <v>63</v>
      </c>
      <c r="AA32" s="8" t="s">
        <v>32</v>
      </c>
      <c r="AB32" s="29" t="s">
        <v>48</v>
      </c>
    </row>
    <row r="33" spans="1:55" ht="18.75" customHeight="1" x14ac:dyDescent="0.2">
      <c r="A33" s="20" t="s">
        <v>173</v>
      </c>
      <c r="B33" s="20" t="s">
        <v>127</v>
      </c>
      <c r="C33" s="21">
        <v>2018</v>
      </c>
      <c r="D33" s="21" t="s">
        <v>618</v>
      </c>
      <c r="E33" s="22" t="s">
        <v>187</v>
      </c>
      <c r="F33" s="20" t="s">
        <v>188</v>
      </c>
      <c r="G33" s="20">
        <v>5</v>
      </c>
      <c r="H33" s="20">
        <v>29</v>
      </c>
      <c r="I33" s="20"/>
      <c r="J33" s="34">
        <v>1.1000000000000001</v>
      </c>
      <c r="K33" s="45">
        <v>1.7</v>
      </c>
      <c r="L33" s="20">
        <v>22</v>
      </c>
      <c r="M33" s="26">
        <v>751.2</v>
      </c>
      <c r="N33" s="26"/>
      <c r="O33" s="34">
        <v>2.2999999999999998</v>
      </c>
      <c r="P33" s="45">
        <v>3.1</v>
      </c>
      <c r="Q33" s="20">
        <v>25</v>
      </c>
      <c r="R33" s="20"/>
      <c r="S33" s="27">
        <f t="shared" si="0"/>
        <v>0.47999999999999987</v>
      </c>
      <c r="T33" s="20">
        <v>1</v>
      </c>
      <c r="U33" s="23">
        <f t="shared" si="1"/>
        <v>0.47162291529929184</v>
      </c>
      <c r="V33" s="23">
        <f t="shared" si="2"/>
        <v>0.46371862062947128</v>
      </c>
      <c r="W33" s="23">
        <f t="shared" si="3"/>
        <v>0.38060911876013681</v>
      </c>
      <c r="X33" s="28"/>
      <c r="Y33" s="20">
        <v>1</v>
      </c>
      <c r="Z33" s="29" t="s">
        <v>63</v>
      </c>
      <c r="AA33" s="8" t="s">
        <v>32</v>
      </c>
      <c r="AB33" s="29" t="s">
        <v>48</v>
      </c>
    </row>
    <row r="34" spans="1:55" ht="18.75" customHeight="1" x14ac:dyDescent="0.2">
      <c r="A34" s="20" t="s">
        <v>173</v>
      </c>
      <c r="B34" s="20" t="s">
        <v>127</v>
      </c>
      <c r="C34" s="21">
        <v>2018</v>
      </c>
      <c r="D34" s="21" t="s">
        <v>618</v>
      </c>
      <c r="E34" s="22" t="s">
        <v>191</v>
      </c>
      <c r="F34" s="20" t="s">
        <v>192</v>
      </c>
      <c r="G34" s="20">
        <v>5</v>
      </c>
      <c r="H34" s="20">
        <v>30</v>
      </c>
      <c r="I34" s="20"/>
      <c r="J34" s="34">
        <v>2</v>
      </c>
      <c r="K34" s="45">
        <v>1.3</v>
      </c>
      <c r="L34" s="20">
        <v>22</v>
      </c>
      <c r="M34" s="26">
        <v>751.2</v>
      </c>
      <c r="N34" s="26"/>
      <c r="O34" s="34">
        <v>2.2000000000000002</v>
      </c>
      <c r="P34" s="45">
        <v>1.6</v>
      </c>
      <c r="Q34" s="20">
        <v>25</v>
      </c>
      <c r="R34" s="20"/>
      <c r="S34" s="27">
        <f t="shared" si="0"/>
        <v>0.13719886811400719</v>
      </c>
      <c r="T34" s="20">
        <v>1</v>
      </c>
      <c r="U34" s="23">
        <f t="shared" si="1"/>
        <v>0.13627216199782616</v>
      </c>
      <c r="V34" s="23">
        <f t="shared" si="2"/>
        <v>0.13398827101462235</v>
      </c>
      <c r="W34" s="23">
        <f t="shared" si="3"/>
        <v>0.122905027932961</v>
      </c>
      <c r="X34" s="28"/>
      <c r="Y34" s="20">
        <v>1</v>
      </c>
      <c r="Z34" s="29" t="s">
        <v>63</v>
      </c>
      <c r="AA34" s="8" t="s">
        <v>32</v>
      </c>
      <c r="AB34" s="29" t="s">
        <v>48</v>
      </c>
    </row>
    <row r="35" spans="1:55" ht="18.75" customHeight="1" x14ac:dyDescent="0.2">
      <c r="A35" s="20" t="s">
        <v>173</v>
      </c>
      <c r="B35" s="20" t="s">
        <v>127</v>
      </c>
      <c r="C35" s="21">
        <v>2018</v>
      </c>
      <c r="D35" s="21" t="s">
        <v>618</v>
      </c>
      <c r="E35" s="22" t="s">
        <v>195</v>
      </c>
      <c r="F35" s="20" t="s">
        <v>196</v>
      </c>
      <c r="G35" s="20">
        <v>5</v>
      </c>
      <c r="H35" s="20">
        <v>31</v>
      </c>
      <c r="I35" s="20"/>
      <c r="J35" s="34">
        <v>1.3</v>
      </c>
      <c r="K35" s="45">
        <v>1.2</v>
      </c>
      <c r="L35" s="20">
        <v>22</v>
      </c>
      <c r="M35" s="26">
        <v>751.2</v>
      </c>
      <c r="N35" s="26"/>
      <c r="O35" s="34">
        <v>1.2</v>
      </c>
      <c r="P35" s="45">
        <v>1.2</v>
      </c>
      <c r="Q35" s="20">
        <v>25</v>
      </c>
      <c r="R35" s="20"/>
      <c r="S35" s="27">
        <f t="shared" si="0"/>
        <v>-8.3333333333333412E-2</v>
      </c>
      <c r="T35" s="20">
        <v>1</v>
      </c>
      <c r="U35" s="23">
        <f t="shared" si="1"/>
        <v>-8.3333333333333412E-2</v>
      </c>
      <c r="V35" s="23">
        <f t="shared" si="2"/>
        <v>-8.1936685288640676E-2</v>
      </c>
      <c r="W35" s="23">
        <f t="shared" si="3"/>
        <v>-8.1936685288640676E-2</v>
      </c>
      <c r="X35" s="28"/>
      <c r="Y35" s="20">
        <v>1</v>
      </c>
      <c r="Z35" s="29" t="s">
        <v>63</v>
      </c>
      <c r="AA35" s="8" t="s">
        <v>32</v>
      </c>
      <c r="AB35" s="29" t="s">
        <v>48</v>
      </c>
    </row>
    <row r="36" spans="1:55" ht="18.75" customHeight="1" x14ac:dyDescent="0.2">
      <c r="A36" s="20" t="s">
        <v>514</v>
      </c>
      <c r="B36" s="20" t="s">
        <v>127</v>
      </c>
      <c r="C36" s="21">
        <v>2018</v>
      </c>
      <c r="D36" s="21" t="s">
        <v>618</v>
      </c>
      <c r="E36" s="22" t="s">
        <v>361</v>
      </c>
      <c r="F36" s="20" t="s">
        <v>362</v>
      </c>
      <c r="G36" s="20">
        <v>5</v>
      </c>
      <c r="H36" s="20">
        <v>32</v>
      </c>
      <c r="I36" s="20"/>
      <c r="J36" s="24">
        <v>0.4</v>
      </c>
      <c r="K36" s="25">
        <v>2</v>
      </c>
      <c r="L36" s="21">
        <v>15</v>
      </c>
      <c r="M36" s="26">
        <v>751.2</v>
      </c>
      <c r="N36" s="26"/>
      <c r="O36" s="24">
        <v>0.2</v>
      </c>
      <c r="P36" s="25">
        <v>1.8</v>
      </c>
      <c r="Q36" s="21">
        <v>24</v>
      </c>
      <c r="R36" s="21"/>
      <c r="S36" s="27">
        <f t="shared" si="0"/>
        <v>-0.10511766624552735</v>
      </c>
      <c r="T36" s="20">
        <v>1</v>
      </c>
      <c r="U36" s="23">
        <f t="shared" si="1"/>
        <v>-0.10648595377424454</v>
      </c>
      <c r="V36" s="23">
        <f t="shared" si="2"/>
        <v>-0.10431277104415791</v>
      </c>
      <c r="W36" s="23">
        <f t="shared" si="3"/>
        <v>-0.108843537414966</v>
      </c>
      <c r="X36" s="28"/>
      <c r="Y36" s="20">
        <v>1</v>
      </c>
      <c r="Z36" s="29" t="s">
        <v>63</v>
      </c>
      <c r="AA36" s="8" t="s">
        <v>32</v>
      </c>
      <c r="AB36" s="29" t="s">
        <v>48</v>
      </c>
    </row>
    <row r="37" spans="1:55" ht="18.75" customHeight="1" x14ac:dyDescent="0.2">
      <c r="A37" s="20" t="s">
        <v>305</v>
      </c>
      <c r="B37" s="21" t="s">
        <v>77</v>
      </c>
      <c r="C37" s="21">
        <v>2020</v>
      </c>
      <c r="D37" s="21" t="s">
        <v>618</v>
      </c>
      <c r="E37" s="22" t="s">
        <v>312</v>
      </c>
      <c r="F37" s="20" t="s">
        <v>313</v>
      </c>
      <c r="G37" s="21">
        <v>6</v>
      </c>
      <c r="H37" s="20">
        <v>33</v>
      </c>
      <c r="I37" s="20"/>
      <c r="J37" s="24">
        <v>0.8</v>
      </c>
      <c r="K37" s="25">
        <v>0.6</v>
      </c>
      <c r="L37" s="21">
        <v>19</v>
      </c>
      <c r="M37" s="26">
        <v>1042</v>
      </c>
      <c r="N37" s="26"/>
      <c r="O37" s="24">
        <v>0.5</v>
      </c>
      <c r="P37" s="25">
        <v>1.1000000000000001</v>
      </c>
      <c r="Q37" s="21">
        <v>19</v>
      </c>
      <c r="R37" s="21"/>
      <c r="S37" s="27">
        <f t="shared" si="0"/>
        <v>-0.33859958878986024</v>
      </c>
      <c r="T37" s="20">
        <v>1</v>
      </c>
      <c r="U37" s="23">
        <f t="shared" si="1"/>
        <v>-0.33859958878986024</v>
      </c>
      <c r="V37" s="23">
        <f t="shared" si="2"/>
        <v>-0.3314961009131499</v>
      </c>
      <c r="W37" s="23">
        <f t="shared" si="3"/>
        <v>-0.26700572155117613</v>
      </c>
      <c r="X37" s="28"/>
      <c r="Y37" s="20">
        <v>1</v>
      </c>
      <c r="Z37" s="29" t="s">
        <v>63</v>
      </c>
      <c r="AA37" s="8" t="s">
        <v>44</v>
      </c>
      <c r="AB37" s="29" t="s">
        <v>48</v>
      </c>
    </row>
    <row r="38" spans="1:55" ht="18.75" customHeight="1" x14ac:dyDescent="0.2">
      <c r="A38" s="20" t="s">
        <v>305</v>
      </c>
      <c r="B38" s="21" t="s">
        <v>77</v>
      </c>
      <c r="C38" s="21">
        <v>2020</v>
      </c>
      <c r="D38" s="21" t="s">
        <v>618</v>
      </c>
      <c r="E38" s="22" t="s">
        <v>314</v>
      </c>
      <c r="F38" s="20" t="s">
        <v>302</v>
      </c>
      <c r="G38" s="21">
        <v>6</v>
      </c>
      <c r="H38" s="20">
        <v>34</v>
      </c>
      <c r="I38" s="20"/>
      <c r="J38" s="24">
        <v>1.6</v>
      </c>
      <c r="K38" s="25">
        <v>4.7</v>
      </c>
      <c r="L38" s="21">
        <v>19</v>
      </c>
      <c r="M38" s="26">
        <v>1042</v>
      </c>
      <c r="N38" s="26"/>
      <c r="O38" s="24">
        <v>0.6</v>
      </c>
      <c r="P38" s="25">
        <v>1.2</v>
      </c>
      <c r="Q38" s="21">
        <v>19</v>
      </c>
      <c r="R38" s="21"/>
      <c r="S38" s="27">
        <f t="shared" si="0"/>
        <v>-0.29154395046566078</v>
      </c>
      <c r="T38" s="20">
        <v>1</v>
      </c>
      <c r="U38" s="23">
        <f t="shared" si="1"/>
        <v>-0.29154395046566078</v>
      </c>
      <c r="V38" s="23">
        <f t="shared" si="2"/>
        <v>-0.28542764381253505</v>
      </c>
      <c r="W38" s="23">
        <f t="shared" si="3"/>
        <v>-0.81585081585081587</v>
      </c>
      <c r="X38" s="28"/>
      <c r="Y38" s="20">
        <v>1</v>
      </c>
      <c r="Z38" s="29" t="s">
        <v>63</v>
      </c>
      <c r="AA38" s="8" t="s">
        <v>44</v>
      </c>
      <c r="AB38" s="29" t="s">
        <v>48</v>
      </c>
    </row>
    <row r="39" spans="1:55" ht="18.75" customHeight="1" x14ac:dyDescent="0.2">
      <c r="A39" s="20" t="s">
        <v>305</v>
      </c>
      <c r="B39" s="21" t="s">
        <v>77</v>
      </c>
      <c r="C39" s="21">
        <v>2020</v>
      </c>
      <c r="D39" s="21" t="s">
        <v>618</v>
      </c>
      <c r="E39" s="22" t="s">
        <v>316</v>
      </c>
      <c r="F39" s="20" t="s">
        <v>302</v>
      </c>
      <c r="G39" s="21">
        <v>6</v>
      </c>
      <c r="H39" s="20">
        <v>35</v>
      </c>
      <c r="I39" s="20"/>
      <c r="J39" s="24">
        <v>3.2</v>
      </c>
      <c r="K39" s="25">
        <v>4.7</v>
      </c>
      <c r="L39" s="21">
        <v>19</v>
      </c>
      <c r="M39" s="26">
        <v>1042</v>
      </c>
      <c r="N39" s="26"/>
      <c r="O39" s="24">
        <v>2.8</v>
      </c>
      <c r="P39" s="25">
        <v>4.7</v>
      </c>
      <c r="Q39" s="21">
        <v>19</v>
      </c>
      <c r="R39" s="21"/>
      <c r="S39" s="27">
        <f t="shared" si="0"/>
        <v>-8.5106382978723472E-2</v>
      </c>
      <c r="T39" s="20">
        <v>1</v>
      </c>
      <c r="U39" s="23">
        <f t="shared" si="1"/>
        <v>-8.5106382978723472E-2</v>
      </c>
      <c r="V39" s="23">
        <f t="shared" si="2"/>
        <v>-8.3320934384764248E-2</v>
      </c>
      <c r="W39" s="23">
        <f t="shared" si="3"/>
        <v>-8.3320934384764248E-2</v>
      </c>
      <c r="X39" s="28"/>
      <c r="Y39" s="20">
        <v>1</v>
      </c>
      <c r="Z39" s="29" t="s">
        <v>63</v>
      </c>
      <c r="AA39" s="8" t="s">
        <v>44</v>
      </c>
      <c r="AB39" s="29" t="s">
        <v>48</v>
      </c>
    </row>
    <row r="40" spans="1:55" ht="18.75" customHeight="1" x14ac:dyDescent="0.2">
      <c r="A40" s="20" t="s">
        <v>146</v>
      </c>
      <c r="B40" s="20" t="s">
        <v>154</v>
      </c>
      <c r="C40" s="21">
        <v>1994</v>
      </c>
      <c r="D40" s="21" t="s">
        <v>618</v>
      </c>
      <c r="E40" s="22" t="s">
        <v>155</v>
      </c>
      <c r="F40" s="20" t="s">
        <v>156</v>
      </c>
      <c r="G40" s="20">
        <v>7</v>
      </c>
      <c r="H40" s="20">
        <v>36</v>
      </c>
      <c r="I40" s="20"/>
      <c r="J40" s="24">
        <v>51.9</v>
      </c>
      <c r="K40" s="25">
        <v>8.6999999999999993</v>
      </c>
      <c r="L40" s="21">
        <v>19</v>
      </c>
      <c r="M40" s="26">
        <v>1332</v>
      </c>
      <c r="N40" s="26"/>
      <c r="O40" s="24">
        <v>39.9</v>
      </c>
      <c r="P40" s="25">
        <v>6.6</v>
      </c>
      <c r="Q40" s="21">
        <v>20</v>
      </c>
      <c r="R40" s="21"/>
      <c r="S40" s="27">
        <f t="shared" si="0"/>
        <v>-1.5540573797716228</v>
      </c>
      <c r="T40" s="20">
        <v>1</v>
      </c>
      <c r="U40" s="23">
        <f t="shared" si="1"/>
        <v>-1.5597467935528373</v>
      </c>
      <c r="V40" s="23">
        <f t="shared" si="2"/>
        <v>-1.5279152263374733</v>
      </c>
      <c r="W40" s="23">
        <f t="shared" si="3"/>
        <v>-1.7810760667903527</v>
      </c>
      <c r="X40" s="28"/>
      <c r="Y40" s="48" t="s">
        <v>75</v>
      </c>
      <c r="Z40" s="29" t="s">
        <v>143</v>
      </c>
      <c r="AA40" s="42" t="s">
        <v>44</v>
      </c>
      <c r="AB40" s="29" t="s">
        <v>143</v>
      </c>
      <c r="AC40" s="29"/>
    </row>
    <row r="41" spans="1:55" ht="18.75" customHeight="1" x14ac:dyDescent="0.2">
      <c r="A41" s="20" t="s">
        <v>347</v>
      </c>
      <c r="B41" s="20" t="s">
        <v>106</v>
      </c>
      <c r="C41" s="21">
        <v>2011</v>
      </c>
      <c r="D41" s="21" t="s">
        <v>618</v>
      </c>
      <c r="E41" s="22" t="s">
        <v>358</v>
      </c>
      <c r="F41" s="20" t="s">
        <v>359</v>
      </c>
      <c r="G41" s="20">
        <v>8</v>
      </c>
      <c r="H41" s="20">
        <v>37</v>
      </c>
      <c r="I41" s="20"/>
      <c r="J41" s="24">
        <v>879.9</v>
      </c>
      <c r="K41" s="25">
        <v>120.7</v>
      </c>
      <c r="L41" s="21">
        <v>9</v>
      </c>
      <c r="M41" s="26">
        <v>1140</v>
      </c>
      <c r="N41" s="26"/>
      <c r="O41" s="24">
        <v>889</v>
      </c>
      <c r="P41" s="25">
        <v>154.1</v>
      </c>
      <c r="Q41" s="21">
        <v>15</v>
      </c>
      <c r="R41" s="21"/>
      <c r="S41" s="27">
        <f t="shared" si="0"/>
        <v>6.5746142240099809E-2</v>
      </c>
      <c r="T41" s="20">
        <v>1</v>
      </c>
      <c r="U41" s="23">
        <f t="shared" si="1"/>
        <v>6.369832107915141E-2</v>
      </c>
      <c r="V41" s="23">
        <f t="shared" si="2"/>
        <v>6.150182724883585E-2</v>
      </c>
      <c r="W41" s="23">
        <f t="shared" si="3"/>
        <v>5.7016267985410429E-2</v>
      </c>
      <c r="X41" s="28"/>
      <c r="Y41" s="20">
        <v>1</v>
      </c>
      <c r="Z41" s="29" t="s">
        <v>63</v>
      </c>
      <c r="AA41" s="29" t="s">
        <v>109</v>
      </c>
      <c r="AB41" s="29" t="s">
        <v>48</v>
      </c>
    </row>
    <row r="42" spans="1:55" ht="18.75" customHeight="1" x14ac:dyDescent="0.2">
      <c r="A42" s="20"/>
      <c r="B42" s="20"/>
      <c r="C42" s="21"/>
      <c r="D42" s="21"/>
      <c r="E42" s="22"/>
      <c r="F42" s="20"/>
      <c r="G42" s="20"/>
      <c r="H42" s="20"/>
      <c r="I42" s="20"/>
      <c r="J42" s="34"/>
      <c r="K42" s="45"/>
      <c r="L42" s="20"/>
      <c r="M42" s="26"/>
      <c r="N42" s="26"/>
      <c r="O42" s="34"/>
      <c r="P42" s="45"/>
      <c r="Q42" s="20"/>
      <c r="R42" s="20"/>
      <c r="S42" s="27"/>
      <c r="T42" s="20"/>
      <c r="U42" s="23"/>
      <c r="V42" s="23"/>
      <c r="W42" s="23"/>
      <c r="X42" s="28"/>
      <c r="Y42" s="20"/>
      <c r="AB42" s="29"/>
    </row>
    <row r="43" spans="1:55" ht="18.75" customHeight="1" x14ac:dyDescent="0.2">
      <c r="A43" s="20"/>
      <c r="B43" s="20"/>
      <c r="C43" s="21"/>
      <c r="D43" s="21"/>
      <c r="E43" s="22"/>
      <c r="F43" s="20"/>
      <c r="G43" s="20"/>
      <c r="H43" s="20"/>
      <c r="I43" s="20"/>
      <c r="J43" s="34"/>
      <c r="K43" s="45"/>
      <c r="L43" s="20"/>
      <c r="M43" s="26"/>
      <c r="N43" s="26"/>
      <c r="O43" s="34"/>
      <c r="P43" s="45"/>
      <c r="Q43" s="20"/>
      <c r="R43" s="20"/>
      <c r="S43" s="27"/>
      <c r="T43" s="20"/>
      <c r="U43" s="23">
        <f>AVERAGE(U5:U41)</f>
        <v>-0.16146052413808604</v>
      </c>
      <c r="V43" s="23">
        <f>AVERAGE(V5:V41)</f>
        <v>-0.15929003934736827</v>
      </c>
      <c r="W43" s="136">
        <f>AVERAGE(W5:W41)</f>
        <v>-0.20637284799283498</v>
      </c>
      <c r="X43" s="28"/>
      <c r="Y43" s="20"/>
      <c r="AB43" s="29"/>
    </row>
    <row r="44" spans="1:55" ht="18.75" customHeight="1" x14ac:dyDescent="0.2">
      <c r="A44" s="20"/>
      <c r="B44" s="20"/>
      <c r="C44" s="21"/>
      <c r="D44" s="21"/>
      <c r="E44" s="22"/>
      <c r="F44" s="20"/>
      <c r="G44" s="20"/>
      <c r="H44" s="20"/>
      <c r="I44" s="20"/>
      <c r="J44" s="34"/>
      <c r="K44" s="45"/>
      <c r="L44" s="20"/>
      <c r="M44" s="26"/>
      <c r="N44" s="26"/>
      <c r="O44" s="34"/>
      <c r="P44" s="45"/>
      <c r="Q44" s="20"/>
      <c r="R44" s="20"/>
      <c r="S44" s="27"/>
      <c r="T44" s="20"/>
      <c r="U44" s="23"/>
      <c r="V44" s="23"/>
      <c r="W44" s="23"/>
      <c r="X44" s="28"/>
      <c r="Y44" s="20"/>
      <c r="AB44" s="29"/>
    </row>
    <row r="45" spans="1:55" s="159" customFormat="1" ht="18.75" customHeight="1" x14ac:dyDescent="0.2">
      <c r="A45" s="90" t="s">
        <v>559</v>
      </c>
      <c r="B45" s="90" t="s">
        <v>563</v>
      </c>
      <c r="C45" s="88">
        <v>2023</v>
      </c>
      <c r="D45" s="88" t="s">
        <v>619</v>
      </c>
      <c r="E45" s="152" t="s">
        <v>565</v>
      </c>
      <c r="F45" s="259" t="s">
        <v>566</v>
      </c>
      <c r="G45" s="20">
        <v>1</v>
      </c>
      <c r="H45" s="90">
        <v>1</v>
      </c>
      <c r="I45" s="90"/>
      <c r="J45" s="164">
        <v>816</v>
      </c>
      <c r="K45" s="155">
        <v>306.5</v>
      </c>
      <c r="L45" s="88">
        <v>20</v>
      </c>
      <c r="M45" s="89">
        <v>702.3</v>
      </c>
      <c r="N45" s="89"/>
      <c r="O45" s="163">
        <v>771.6</v>
      </c>
      <c r="P45" s="155">
        <v>282.39999999999998</v>
      </c>
      <c r="Q45" s="88">
        <v>40</v>
      </c>
      <c r="R45" s="90"/>
      <c r="S45" s="157">
        <f t="shared" ref="S45:S81" si="4">(O45-J45)/SQRT((P45^2+K45^2)/2)</f>
        <v>-0.15066349838712362</v>
      </c>
      <c r="T45" s="90">
        <v>1</v>
      </c>
      <c r="U45" s="174">
        <f t="shared" ref="U45:U81" si="5">(O45-J45)/SQRT((((Q45-1)*P45^2) + ((L45-1)*K45^2))/(Q45+L45-2))*T45</f>
        <v>-0.15283198646924889</v>
      </c>
      <c r="V45" s="174">
        <f t="shared" ref="V45:V81" si="6">U45*(1-(3/(4*(L45+Q45-2) -1)))</f>
        <v>-0.15084715547614178</v>
      </c>
      <c r="W45" s="174">
        <f t="shared" ref="W45:W81" si="7">((O45-J45)/P45)*T45 * (1-(3/(4*(L45+Q45-2)-1)))</f>
        <v>-0.15518192855303331</v>
      </c>
      <c r="X45" s="222"/>
      <c r="Y45" s="90">
        <v>1</v>
      </c>
      <c r="Z45" s="224"/>
    </row>
    <row r="46" spans="1:55" s="159" customFormat="1" ht="18.75" customHeight="1" x14ac:dyDescent="0.2">
      <c r="A46" s="90" t="s">
        <v>27</v>
      </c>
      <c r="B46" s="90" t="s">
        <v>33</v>
      </c>
      <c r="C46" s="88">
        <v>2005</v>
      </c>
      <c r="D46" s="88" t="s">
        <v>619</v>
      </c>
      <c r="E46" s="152" t="s">
        <v>36</v>
      </c>
      <c r="F46" s="174" t="s">
        <v>37</v>
      </c>
      <c r="G46" s="20">
        <v>2</v>
      </c>
      <c r="H46" s="90">
        <v>2</v>
      </c>
      <c r="I46" s="90"/>
      <c r="J46" s="163">
        <v>0.88</v>
      </c>
      <c r="K46" s="155">
        <v>0.3</v>
      </c>
      <c r="L46" s="88">
        <v>25</v>
      </c>
      <c r="M46" s="89">
        <v>758.79</v>
      </c>
      <c r="N46" s="89"/>
      <c r="O46" s="163">
        <v>0.77</v>
      </c>
      <c r="P46" s="155">
        <v>0.42</v>
      </c>
      <c r="Q46" s="88">
        <v>25</v>
      </c>
      <c r="R46" s="90"/>
      <c r="S46" s="157">
        <f t="shared" si="4"/>
        <v>-0.30139814339315502</v>
      </c>
      <c r="T46" s="90">
        <v>1</v>
      </c>
      <c r="U46" s="174">
        <f t="shared" si="5"/>
        <v>-0.30139814339315502</v>
      </c>
      <c r="V46" s="174">
        <f t="shared" si="6"/>
        <v>-0.2966641411409065</v>
      </c>
      <c r="W46" s="174">
        <f t="shared" si="7"/>
        <v>-0.25779107454500122</v>
      </c>
      <c r="X46" s="222"/>
      <c r="Y46" s="90">
        <v>2</v>
      </c>
      <c r="Z46" s="224" t="s">
        <v>31</v>
      </c>
      <c r="AA46" s="159" t="s">
        <v>32</v>
      </c>
      <c r="AB46" s="224" t="s">
        <v>31</v>
      </c>
      <c r="AL46" s="159">
        <v>0.8</v>
      </c>
      <c r="AM46" s="159">
        <v>0.4</v>
      </c>
      <c r="AN46" s="159">
        <v>25</v>
      </c>
      <c r="BB46" s="159" t="s">
        <v>33</v>
      </c>
      <c r="BC46" s="159">
        <v>3</v>
      </c>
    </row>
    <row r="47" spans="1:55" s="159" customFormat="1" ht="18.75" customHeight="1" x14ac:dyDescent="0.2">
      <c r="A47" s="90" t="s">
        <v>264</v>
      </c>
      <c r="B47" s="90" t="s">
        <v>33</v>
      </c>
      <c r="C47" s="88">
        <v>2005</v>
      </c>
      <c r="D47" s="88" t="s">
        <v>619</v>
      </c>
      <c r="E47" s="152" t="s">
        <v>271</v>
      </c>
      <c r="F47" s="174" t="s">
        <v>272</v>
      </c>
      <c r="G47" s="20">
        <v>2</v>
      </c>
      <c r="H47" s="90">
        <v>3</v>
      </c>
      <c r="I47" s="90"/>
      <c r="J47" s="164">
        <v>0.99</v>
      </c>
      <c r="K47" s="199">
        <v>0.35</v>
      </c>
      <c r="L47" s="90">
        <v>25</v>
      </c>
      <c r="M47" s="89">
        <v>758.79</v>
      </c>
      <c r="N47" s="89"/>
      <c r="O47" s="164">
        <v>0.83</v>
      </c>
      <c r="P47" s="199">
        <v>0.26</v>
      </c>
      <c r="Q47" s="90">
        <v>25</v>
      </c>
      <c r="R47" s="90"/>
      <c r="S47" s="157">
        <f t="shared" si="4"/>
        <v>-0.51897199400628724</v>
      </c>
      <c r="T47" s="90">
        <v>1</v>
      </c>
      <c r="U47" s="174">
        <f t="shared" si="5"/>
        <v>-0.51897199400628713</v>
      </c>
      <c r="V47" s="174">
        <f t="shared" si="6"/>
        <v>-0.51082060143027219</v>
      </c>
      <c r="W47" s="174">
        <f t="shared" si="7"/>
        <v>-0.60571888844140165</v>
      </c>
      <c r="X47" s="222"/>
      <c r="Y47" s="90">
        <v>2</v>
      </c>
      <c r="Z47" s="224" t="s">
        <v>31</v>
      </c>
      <c r="AA47" s="159" t="s">
        <v>32</v>
      </c>
      <c r="AB47" s="224" t="s">
        <v>31</v>
      </c>
    </row>
    <row r="48" spans="1:55" s="159" customFormat="1" ht="18.75" customHeight="1" x14ac:dyDescent="0.2">
      <c r="A48" s="90" t="s">
        <v>264</v>
      </c>
      <c r="B48" s="90" t="s">
        <v>33</v>
      </c>
      <c r="C48" s="88">
        <v>2005</v>
      </c>
      <c r="D48" s="88" t="s">
        <v>619</v>
      </c>
      <c r="E48" s="152" t="s">
        <v>275</v>
      </c>
      <c r="F48" s="174" t="s">
        <v>276</v>
      </c>
      <c r="G48" s="20">
        <v>2</v>
      </c>
      <c r="H48" s="90">
        <v>4</v>
      </c>
      <c r="I48" s="90"/>
      <c r="J48" s="164">
        <v>1.1299999999999999</v>
      </c>
      <c r="K48" s="199">
        <v>0.34</v>
      </c>
      <c r="L48" s="90">
        <v>25</v>
      </c>
      <c r="M48" s="89">
        <v>758.79</v>
      </c>
      <c r="N48" s="89"/>
      <c r="O48" s="164">
        <v>1.02</v>
      </c>
      <c r="P48" s="199">
        <v>0.33</v>
      </c>
      <c r="Q48" s="90">
        <v>25</v>
      </c>
      <c r="R48" s="90"/>
      <c r="S48" s="157">
        <f t="shared" si="4"/>
        <v>-0.32832164141694481</v>
      </c>
      <c r="T48" s="90">
        <v>1</v>
      </c>
      <c r="U48" s="174">
        <f t="shared" si="5"/>
        <v>-0.32832164141694481</v>
      </c>
      <c r="V48" s="174">
        <f t="shared" si="6"/>
        <v>-0.32316475699678338</v>
      </c>
      <c r="W48" s="174">
        <f t="shared" si="7"/>
        <v>-0.32809773123909208</v>
      </c>
      <c r="X48" s="222"/>
      <c r="Y48" s="90">
        <v>2</v>
      </c>
      <c r="Z48" s="224" t="s">
        <v>31</v>
      </c>
      <c r="AA48" s="159" t="s">
        <v>32</v>
      </c>
      <c r="AB48" s="224" t="s">
        <v>31</v>
      </c>
    </row>
    <row r="49" spans="1:55" s="159" customFormat="1" ht="18.75" customHeight="1" x14ac:dyDescent="0.2">
      <c r="A49" s="90" t="s">
        <v>101</v>
      </c>
      <c r="B49" s="90" t="s">
        <v>115</v>
      </c>
      <c r="C49" s="88">
        <v>2005</v>
      </c>
      <c r="D49" s="88" t="s">
        <v>619</v>
      </c>
      <c r="E49" s="152" t="s">
        <v>118</v>
      </c>
      <c r="F49" s="90" t="s">
        <v>119</v>
      </c>
      <c r="G49" s="178">
        <v>2</v>
      </c>
      <c r="H49" s="90">
        <v>5</v>
      </c>
      <c r="I49" s="90"/>
      <c r="J49" s="163">
        <v>0.02</v>
      </c>
      <c r="K49" s="207">
        <f>SQRT((0.06/SQRT(25))^2 + (0.05/SQRT(25))^2)</f>
        <v>1.5620499351813309E-2</v>
      </c>
      <c r="L49" s="88">
        <v>25</v>
      </c>
      <c r="M49" s="89">
        <v>758.79</v>
      </c>
      <c r="N49" s="89"/>
      <c r="O49" s="163">
        <v>0.03</v>
      </c>
      <c r="P49" s="207">
        <f>SQRT((0.04/SQRT(25))^2 + (0.05/SQRT(25))^2)</f>
        <v>1.2806248474865698E-2</v>
      </c>
      <c r="Q49" s="88">
        <v>25</v>
      </c>
      <c r="R49" s="88"/>
      <c r="S49" s="157">
        <f t="shared" si="4"/>
        <v>0.7001400420140047</v>
      </c>
      <c r="T49" s="90">
        <v>1</v>
      </c>
      <c r="U49" s="174">
        <f t="shared" si="5"/>
        <v>0.70014004201400482</v>
      </c>
      <c r="V49" s="174">
        <f t="shared" si="6"/>
        <v>0.68914307800331365</v>
      </c>
      <c r="W49" s="174">
        <f t="shared" si="7"/>
        <v>0.7686038543208884</v>
      </c>
      <c r="X49" s="222"/>
      <c r="Y49" s="90">
        <v>2</v>
      </c>
      <c r="Z49" s="224" t="s">
        <v>31</v>
      </c>
      <c r="AA49" s="159" t="s">
        <v>32</v>
      </c>
      <c r="AB49" s="224" t="s">
        <v>31</v>
      </c>
    </row>
    <row r="50" spans="1:55" s="159" customFormat="1" ht="18.75" customHeight="1" x14ac:dyDescent="0.2">
      <c r="A50" s="90" t="s">
        <v>27</v>
      </c>
      <c r="B50" s="90" t="s">
        <v>38</v>
      </c>
      <c r="C50" s="88">
        <v>2007</v>
      </c>
      <c r="D50" s="88" t="s">
        <v>619</v>
      </c>
      <c r="E50" s="152" t="s">
        <v>36</v>
      </c>
      <c r="F50" s="174" t="s">
        <v>40</v>
      </c>
      <c r="G50" s="20">
        <v>3</v>
      </c>
      <c r="H50" s="90">
        <v>6</v>
      </c>
      <c r="I50" s="90"/>
      <c r="J50" s="163">
        <v>0.92</v>
      </c>
      <c r="K50" s="155">
        <v>0.35</v>
      </c>
      <c r="L50" s="88">
        <v>25</v>
      </c>
      <c r="M50" s="89">
        <v>1285.68</v>
      </c>
      <c r="N50" s="89"/>
      <c r="O50" s="163">
        <v>0.76</v>
      </c>
      <c r="P50" s="155">
        <v>16.399999999999999</v>
      </c>
      <c r="Q50" s="88">
        <v>45</v>
      </c>
      <c r="R50" s="90"/>
      <c r="S50" s="157">
        <f t="shared" si="4"/>
        <v>-1.379406453522793E-2</v>
      </c>
      <c r="T50" s="90">
        <v>1</v>
      </c>
      <c r="U50" s="174">
        <f t="shared" si="5"/>
        <v>-1.2126914431586335E-2</v>
      </c>
      <c r="V50" s="174">
        <f t="shared" si="6"/>
        <v>-1.1992668146365822E-2</v>
      </c>
      <c r="W50" s="174">
        <f t="shared" si="7"/>
        <v>-9.6480964809648132E-3</v>
      </c>
      <c r="X50" s="222"/>
      <c r="Y50" s="90">
        <v>2</v>
      </c>
      <c r="Z50" s="224" t="s">
        <v>31</v>
      </c>
      <c r="AA50" s="159" t="s">
        <v>32</v>
      </c>
      <c r="AB50" s="224" t="s">
        <v>31</v>
      </c>
      <c r="AL50" s="159">
        <v>0.8</v>
      </c>
      <c r="AM50" s="159">
        <v>16.399999999999999</v>
      </c>
      <c r="AN50" s="159">
        <v>45</v>
      </c>
      <c r="BB50" s="159" t="s">
        <v>38</v>
      </c>
      <c r="BC50" s="159">
        <v>5</v>
      </c>
    </row>
    <row r="51" spans="1:55" s="159" customFormat="1" ht="18.75" customHeight="1" x14ac:dyDescent="0.2">
      <c r="A51" s="90" t="s">
        <v>559</v>
      </c>
      <c r="B51" s="90" t="s">
        <v>38</v>
      </c>
      <c r="C51" s="88">
        <v>2007</v>
      </c>
      <c r="D51" s="88" t="s">
        <v>619</v>
      </c>
      <c r="E51" s="152" t="s">
        <v>206</v>
      </c>
      <c r="F51" s="174" t="s">
        <v>207</v>
      </c>
      <c r="G51" s="8">
        <v>3</v>
      </c>
      <c r="H51" s="90">
        <v>7</v>
      </c>
      <c r="I51" s="90"/>
      <c r="J51" s="164">
        <v>0.84</v>
      </c>
      <c r="K51" s="199">
        <v>0.68</v>
      </c>
      <c r="L51" s="90">
        <v>25</v>
      </c>
      <c r="M51" s="89">
        <v>1285.68</v>
      </c>
      <c r="N51" s="89"/>
      <c r="O51" s="164">
        <v>0.63</v>
      </c>
      <c r="P51" s="199">
        <v>0.26</v>
      </c>
      <c r="Q51" s="90">
        <v>45</v>
      </c>
      <c r="R51" s="90"/>
      <c r="S51" s="157">
        <f t="shared" si="4"/>
        <v>-0.4079400621900508</v>
      </c>
      <c r="T51" s="90">
        <v>1</v>
      </c>
      <c r="U51" s="174">
        <f t="shared" si="5"/>
        <v>-0.46163192738837849</v>
      </c>
      <c r="V51" s="174">
        <f t="shared" si="6"/>
        <v>-0.45652161084902376</v>
      </c>
      <c r="W51" s="174">
        <f t="shared" si="7"/>
        <v>-0.79875106443372113</v>
      </c>
      <c r="X51" s="222"/>
      <c r="Y51" s="90">
        <v>2</v>
      </c>
      <c r="Z51" s="224" t="s">
        <v>31</v>
      </c>
      <c r="AA51" s="159" t="s">
        <v>32</v>
      </c>
      <c r="AB51" s="224" t="s">
        <v>31</v>
      </c>
    </row>
    <row r="52" spans="1:55" s="159" customFormat="1" ht="18.75" customHeight="1" x14ac:dyDescent="0.2">
      <c r="A52" s="90" t="s">
        <v>264</v>
      </c>
      <c r="B52" s="90" t="s">
        <v>38</v>
      </c>
      <c r="C52" s="88">
        <v>2007</v>
      </c>
      <c r="D52" s="88" t="s">
        <v>619</v>
      </c>
      <c r="E52" s="152" t="s">
        <v>271</v>
      </c>
      <c r="F52" s="174" t="s">
        <v>278</v>
      </c>
      <c r="G52" s="20">
        <v>3</v>
      </c>
      <c r="H52" s="90">
        <v>8</v>
      </c>
      <c r="I52" s="90"/>
      <c r="J52" s="164">
        <v>0.87</v>
      </c>
      <c r="K52" s="199">
        <v>0.2</v>
      </c>
      <c r="L52" s="90">
        <v>25</v>
      </c>
      <c r="M52" s="89">
        <v>1285.68</v>
      </c>
      <c r="N52" s="89"/>
      <c r="O52" s="164">
        <v>0.82</v>
      </c>
      <c r="P52" s="199">
        <v>0.26</v>
      </c>
      <c r="Q52" s="90">
        <v>45</v>
      </c>
      <c r="R52" s="90"/>
      <c r="S52" s="157">
        <f t="shared" si="4"/>
        <v>-0.21556530677961361</v>
      </c>
      <c r="T52" s="90">
        <v>1</v>
      </c>
      <c r="U52" s="174">
        <f t="shared" si="5"/>
        <v>-0.20786683571654557</v>
      </c>
      <c r="V52" s="174">
        <f t="shared" si="6"/>
        <v>-0.20556572683407459</v>
      </c>
      <c r="W52" s="174">
        <f t="shared" si="7"/>
        <v>-0.1901788248651719</v>
      </c>
      <c r="X52" s="222"/>
      <c r="Y52" s="90">
        <v>2</v>
      </c>
      <c r="Z52" s="224" t="s">
        <v>31</v>
      </c>
      <c r="AA52" s="260" t="s">
        <v>234</v>
      </c>
      <c r="AB52" s="224" t="s">
        <v>31</v>
      </c>
    </row>
    <row r="53" spans="1:55" s="159" customFormat="1" ht="18.75" customHeight="1" x14ac:dyDescent="0.2">
      <c r="A53" s="90" t="s">
        <v>264</v>
      </c>
      <c r="B53" s="90" t="s">
        <v>38</v>
      </c>
      <c r="C53" s="88">
        <v>2007</v>
      </c>
      <c r="D53" s="88" t="s">
        <v>619</v>
      </c>
      <c r="E53" s="152" t="s">
        <v>275</v>
      </c>
      <c r="F53" s="174" t="s">
        <v>280</v>
      </c>
      <c r="G53" s="20">
        <v>3</v>
      </c>
      <c r="H53" s="90">
        <v>9</v>
      </c>
      <c r="I53" s="90"/>
      <c r="J53" s="164">
        <v>0.98</v>
      </c>
      <c r="K53" s="199">
        <v>0.24</v>
      </c>
      <c r="L53" s="90">
        <v>25</v>
      </c>
      <c r="M53" s="89">
        <v>1285.68</v>
      </c>
      <c r="N53" s="89"/>
      <c r="O53" s="164">
        <v>1</v>
      </c>
      <c r="P53" s="199">
        <v>32</v>
      </c>
      <c r="Q53" s="90">
        <v>45</v>
      </c>
      <c r="R53" s="90"/>
      <c r="S53" s="157">
        <f t="shared" si="4"/>
        <v>8.8385861830910829E-4</v>
      </c>
      <c r="T53" s="90">
        <v>1</v>
      </c>
      <c r="U53" s="174">
        <f t="shared" si="5"/>
        <v>7.7696503137658927E-4</v>
      </c>
      <c r="V53" s="174">
        <f t="shared" si="6"/>
        <v>7.6836394246836137E-4</v>
      </c>
      <c r="W53" s="174">
        <f t="shared" si="7"/>
        <v>6.180811808118087E-4</v>
      </c>
      <c r="X53" s="222"/>
      <c r="Y53" s="90">
        <v>2</v>
      </c>
      <c r="Z53" s="224" t="s">
        <v>31</v>
      </c>
      <c r="AA53" s="260" t="s">
        <v>234</v>
      </c>
      <c r="AB53" s="224" t="s">
        <v>31</v>
      </c>
    </row>
    <row r="54" spans="1:55" s="159" customFormat="1" ht="18.75" customHeight="1" x14ac:dyDescent="0.2">
      <c r="A54" s="90" t="s">
        <v>383</v>
      </c>
      <c r="B54" s="90" t="s">
        <v>384</v>
      </c>
      <c r="C54" s="88">
        <v>2016</v>
      </c>
      <c r="D54" s="88" t="s">
        <v>619</v>
      </c>
      <c r="E54" s="152" t="s">
        <v>389</v>
      </c>
      <c r="F54" s="90" t="s">
        <v>390</v>
      </c>
      <c r="G54" s="20">
        <v>4</v>
      </c>
      <c r="H54" s="90">
        <v>10</v>
      </c>
      <c r="I54" s="90"/>
      <c r="J54" s="164">
        <v>1197</v>
      </c>
      <c r="K54" s="199">
        <v>272</v>
      </c>
      <c r="L54" s="90">
        <v>56</v>
      </c>
      <c r="M54" s="89">
        <v>657</v>
      </c>
      <c r="N54" s="89"/>
      <c r="O54" s="164">
        <v>1133</v>
      </c>
      <c r="P54" s="199">
        <v>221</v>
      </c>
      <c r="Q54" s="90">
        <v>53</v>
      </c>
      <c r="R54" s="90"/>
      <c r="S54" s="157">
        <f t="shared" si="4"/>
        <v>-0.25825669292048387</v>
      </c>
      <c r="T54" s="90">
        <v>1</v>
      </c>
      <c r="U54" s="174">
        <f t="shared" si="5"/>
        <v>-0.25751874648171857</v>
      </c>
      <c r="V54" s="174">
        <f t="shared" si="6"/>
        <v>-0.25570948128395476</v>
      </c>
      <c r="W54" s="174">
        <f t="shared" si="7"/>
        <v>-0.28755815062468876</v>
      </c>
      <c r="X54" s="222"/>
      <c r="Y54" s="90">
        <v>1</v>
      </c>
      <c r="Z54" s="224" t="s">
        <v>63</v>
      </c>
      <c r="AA54" s="159" t="s">
        <v>44</v>
      </c>
      <c r="AB54" s="224" t="s">
        <v>48</v>
      </c>
    </row>
    <row r="55" spans="1:55" s="159" customFormat="1" ht="18.75" customHeight="1" x14ac:dyDescent="0.2">
      <c r="A55" s="90" t="s">
        <v>383</v>
      </c>
      <c r="B55" s="90" t="s">
        <v>384</v>
      </c>
      <c r="C55" s="88">
        <v>2016</v>
      </c>
      <c r="D55" s="88" t="s">
        <v>619</v>
      </c>
      <c r="E55" s="152" t="s">
        <v>393</v>
      </c>
      <c r="F55" s="90" t="s">
        <v>394</v>
      </c>
      <c r="G55" s="20">
        <v>4</v>
      </c>
      <c r="H55" s="90">
        <v>11</v>
      </c>
      <c r="I55" s="90"/>
      <c r="J55" s="164">
        <v>874</v>
      </c>
      <c r="K55" s="199">
        <v>182</v>
      </c>
      <c r="L55" s="90">
        <v>56</v>
      </c>
      <c r="M55" s="89">
        <v>657</v>
      </c>
      <c r="N55" s="89"/>
      <c r="O55" s="164">
        <v>796</v>
      </c>
      <c r="P55" s="199">
        <v>157</v>
      </c>
      <c r="Q55" s="90">
        <v>53</v>
      </c>
      <c r="R55" s="90"/>
      <c r="S55" s="157">
        <f t="shared" si="4"/>
        <v>-0.4589307316362739</v>
      </c>
      <c r="T55" s="90">
        <v>1</v>
      </c>
      <c r="U55" s="174">
        <f t="shared" si="5"/>
        <v>-0.4579898559242136</v>
      </c>
      <c r="V55" s="174">
        <f t="shared" si="6"/>
        <v>-0.45477212859921912</v>
      </c>
      <c r="W55" s="174">
        <f t="shared" si="7"/>
        <v>-0.49332478109757005</v>
      </c>
      <c r="X55" s="222"/>
      <c r="Y55" s="90">
        <v>1</v>
      </c>
      <c r="Z55" s="224" t="s">
        <v>63</v>
      </c>
      <c r="AA55" s="159" t="s">
        <v>44</v>
      </c>
      <c r="AB55" s="224" t="s">
        <v>48</v>
      </c>
    </row>
    <row r="56" spans="1:55" s="159" customFormat="1" ht="18.75" customHeight="1" x14ac:dyDescent="0.2">
      <c r="A56" s="90" t="s">
        <v>146</v>
      </c>
      <c r="B56" s="90" t="s">
        <v>159</v>
      </c>
      <c r="C56" s="88">
        <v>2017</v>
      </c>
      <c r="D56" s="88" t="s">
        <v>619</v>
      </c>
      <c r="E56" s="152" t="s">
        <v>162</v>
      </c>
      <c r="F56" s="90" t="s">
        <v>163</v>
      </c>
      <c r="G56" s="20">
        <v>4</v>
      </c>
      <c r="H56" s="90">
        <v>12</v>
      </c>
      <c r="I56" s="90"/>
      <c r="J56" s="163">
        <v>9.3000000000000007</v>
      </c>
      <c r="K56" s="155">
        <v>1.8</v>
      </c>
      <c r="L56" s="88">
        <v>57</v>
      </c>
      <c r="M56" s="89">
        <v>655</v>
      </c>
      <c r="N56" s="89"/>
      <c r="O56" s="163">
        <v>8.6999999999999993</v>
      </c>
      <c r="P56" s="155">
        <v>1.5</v>
      </c>
      <c r="Q56" s="88">
        <v>57</v>
      </c>
      <c r="R56" s="88"/>
      <c r="S56" s="157">
        <f t="shared" si="4"/>
        <v>-0.36214298417007496</v>
      </c>
      <c r="T56" s="90">
        <v>1</v>
      </c>
      <c r="U56" s="174">
        <f t="shared" si="5"/>
        <v>-0.36214298417007496</v>
      </c>
      <c r="V56" s="174">
        <f t="shared" si="6"/>
        <v>-0.35971249434343017</v>
      </c>
      <c r="W56" s="174">
        <f t="shared" si="7"/>
        <v>-0.3973154362416117</v>
      </c>
      <c r="X56" s="222"/>
      <c r="Y56" s="90">
        <v>1</v>
      </c>
      <c r="Z56" s="224" t="s">
        <v>63</v>
      </c>
      <c r="AA56" s="158" t="s">
        <v>44</v>
      </c>
      <c r="AB56" s="224" t="s">
        <v>48</v>
      </c>
    </row>
    <row r="57" spans="1:55" s="159" customFormat="1" ht="18.75" customHeight="1" x14ac:dyDescent="0.2">
      <c r="A57" s="90" t="s">
        <v>214</v>
      </c>
      <c r="B57" s="90" t="s">
        <v>159</v>
      </c>
      <c r="C57" s="88">
        <v>2017</v>
      </c>
      <c r="D57" s="88" t="s">
        <v>619</v>
      </c>
      <c r="E57" s="152" t="s">
        <v>221</v>
      </c>
      <c r="F57" s="174" t="s">
        <v>222</v>
      </c>
      <c r="G57" s="20">
        <v>4</v>
      </c>
      <c r="H57" s="90">
        <v>13</v>
      </c>
      <c r="I57" s="90"/>
      <c r="J57" s="164">
        <v>1705</v>
      </c>
      <c r="K57" s="199">
        <v>457</v>
      </c>
      <c r="L57" s="90">
        <v>57</v>
      </c>
      <c r="M57" s="89">
        <v>655</v>
      </c>
      <c r="N57" s="89"/>
      <c r="O57" s="164">
        <v>1539</v>
      </c>
      <c r="P57" s="199">
        <v>318</v>
      </c>
      <c r="Q57" s="90">
        <v>57</v>
      </c>
      <c r="R57" s="90"/>
      <c r="S57" s="157">
        <f t="shared" si="4"/>
        <v>-0.42165878460045436</v>
      </c>
      <c r="T57" s="90">
        <v>1</v>
      </c>
      <c r="U57" s="174">
        <f t="shared" si="5"/>
        <v>-0.42165878460045436</v>
      </c>
      <c r="V57" s="174">
        <f t="shared" si="6"/>
        <v>-0.41882885987159224</v>
      </c>
      <c r="W57" s="174">
        <f t="shared" si="7"/>
        <v>-0.51850913849141023</v>
      </c>
      <c r="X57" s="222"/>
      <c r="Y57" s="90">
        <v>1</v>
      </c>
      <c r="Z57" s="224" t="s">
        <v>63</v>
      </c>
      <c r="AA57" s="159" t="s">
        <v>32</v>
      </c>
      <c r="AB57" s="224" t="s">
        <v>48</v>
      </c>
    </row>
    <row r="58" spans="1:55" s="159" customFormat="1" ht="18.75" customHeight="1" x14ac:dyDescent="0.2">
      <c r="A58" s="90" t="s">
        <v>292</v>
      </c>
      <c r="B58" s="90" t="s">
        <v>159</v>
      </c>
      <c r="C58" s="88">
        <v>2017</v>
      </c>
      <c r="D58" s="88" t="s">
        <v>619</v>
      </c>
      <c r="E58" s="152" t="s">
        <v>293</v>
      </c>
      <c r="F58" s="90" t="s">
        <v>294</v>
      </c>
      <c r="G58" s="20">
        <v>4</v>
      </c>
      <c r="H58" s="90">
        <v>14</v>
      </c>
      <c r="I58" s="90"/>
      <c r="J58" s="164">
        <v>605</v>
      </c>
      <c r="K58" s="199">
        <v>146</v>
      </c>
      <c r="L58" s="90">
        <v>57</v>
      </c>
      <c r="M58" s="89">
        <v>655</v>
      </c>
      <c r="N58" s="89"/>
      <c r="O58" s="164">
        <v>549</v>
      </c>
      <c r="P58" s="199">
        <v>80</v>
      </c>
      <c r="Q58" s="90">
        <v>57</v>
      </c>
      <c r="R58" s="90"/>
      <c r="S58" s="157">
        <f t="shared" si="4"/>
        <v>-0.47570503539933895</v>
      </c>
      <c r="T58" s="90">
        <v>1</v>
      </c>
      <c r="U58" s="174">
        <f t="shared" si="5"/>
        <v>-0.47570503539933895</v>
      </c>
      <c r="V58" s="174">
        <f t="shared" si="6"/>
        <v>-0.47251238415504809</v>
      </c>
      <c r="W58" s="174">
        <f t="shared" si="7"/>
        <v>-0.69530201342281872</v>
      </c>
      <c r="X58" s="222"/>
      <c r="Y58" s="90">
        <v>1</v>
      </c>
      <c r="Z58" s="224" t="s">
        <v>63</v>
      </c>
      <c r="AA58" s="159" t="s">
        <v>44</v>
      </c>
      <c r="AB58" s="224" t="s">
        <v>48</v>
      </c>
    </row>
    <row r="59" spans="1:55" s="159" customFormat="1" ht="18.75" customHeight="1" x14ac:dyDescent="0.2">
      <c r="A59" s="90" t="s">
        <v>292</v>
      </c>
      <c r="B59" s="90" t="s">
        <v>159</v>
      </c>
      <c r="C59" s="88">
        <v>2017</v>
      </c>
      <c r="D59" s="88" t="s">
        <v>619</v>
      </c>
      <c r="E59" s="152" t="s">
        <v>295</v>
      </c>
      <c r="F59" s="90" t="s">
        <v>296</v>
      </c>
      <c r="G59" s="20">
        <v>4</v>
      </c>
      <c r="H59" s="90">
        <v>15</v>
      </c>
      <c r="I59" s="90"/>
      <c r="J59" s="164">
        <v>2144</v>
      </c>
      <c r="K59" s="199">
        <v>570</v>
      </c>
      <c r="L59" s="90">
        <v>57</v>
      </c>
      <c r="M59" s="89">
        <v>655</v>
      </c>
      <c r="N59" s="89"/>
      <c r="O59" s="164">
        <v>1875</v>
      </c>
      <c r="P59" s="199">
        <v>418</v>
      </c>
      <c r="Q59" s="90">
        <v>57</v>
      </c>
      <c r="R59" s="90"/>
      <c r="S59" s="157">
        <f t="shared" si="4"/>
        <v>-0.53820240216197568</v>
      </c>
      <c r="T59" s="90">
        <v>1</v>
      </c>
      <c r="U59" s="174">
        <f t="shared" si="5"/>
        <v>-0.53820240216197568</v>
      </c>
      <c r="V59" s="174">
        <f t="shared" si="6"/>
        <v>-0.53459030550317044</v>
      </c>
      <c r="W59" s="174">
        <f t="shared" si="7"/>
        <v>-0.63922160495809377</v>
      </c>
      <c r="X59" s="222"/>
      <c r="Y59" s="90">
        <v>1</v>
      </c>
      <c r="Z59" s="224" t="s">
        <v>63</v>
      </c>
      <c r="AA59" s="159" t="s">
        <v>44</v>
      </c>
      <c r="AB59" s="224" t="s">
        <v>48</v>
      </c>
    </row>
    <row r="60" spans="1:55" s="159" customFormat="1" ht="18.75" customHeight="1" x14ac:dyDescent="0.2">
      <c r="A60" s="90" t="s">
        <v>101</v>
      </c>
      <c r="B60" s="90" t="s">
        <v>60</v>
      </c>
      <c r="C60" s="88">
        <v>2017</v>
      </c>
      <c r="D60" s="88" t="s">
        <v>619</v>
      </c>
      <c r="E60" s="152" t="s">
        <v>104</v>
      </c>
      <c r="F60" s="90" t="s">
        <v>105</v>
      </c>
      <c r="G60" s="20">
        <v>5</v>
      </c>
      <c r="H60" s="90">
        <v>16</v>
      </c>
      <c r="I60" s="90"/>
      <c r="J60" s="163">
        <v>111.3</v>
      </c>
      <c r="K60" s="155">
        <v>86.7</v>
      </c>
      <c r="L60" s="88">
        <v>37</v>
      </c>
      <c r="M60" s="89">
        <v>720</v>
      </c>
      <c r="N60" s="89"/>
      <c r="O60" s="163">
        <v>94.3</v>
      </c>
      <c r="P60" s="155">
        <v>51.9</v>
      </c>
      <c r="Q60" s="88">
        <v>30</v>
      </c>
      <c r="R60" s="88"/>
      <c r="S60" s="157">
        <f t="shared" si="4"/>
        <v>-0.23792518429246062</v>
      </c>
      <c r="T60" s="90">
        <v>1</v>
      </c>
      <c r="U60" s="174">
        <f t="shared" si="5"/>
        <v>-0.23209483280355711</v>
      </c>
      <c r="V60" s="174">
        <f t="shared" si="6"/>
        <v>-0.22940647566683639</v>
      </c>
      <c r="W60" s="174">
        <f t="shared" si="7"/>
        <v>-0.32375893647569948</v>
      </c>
      <c r="X60" s="222"/>
      <c r="Y60" s="90">
        <v>1</v>
      </c>
      <c r="Z60" s="224" t="s">
        <v>63</v>
      </c>
      <c r="AA60" s="159" t="s">
        <v>32</v>
      </c>
      <c r="AB60" s="224" t="s">
        <v>48</v>
      </c>
    </row>
    <row r="61" spans="1:55" s="159" customFormat="1" ht="18.75" customHeight="1" x14ac:dyDescent="0.2">
      <c r="A61" s="90" t="s">
        <v>101</v>
      </c>
      <c r="B61" s="90" t="s">
        <v>60</v>
      </c>
      <c r="C61" s="88">
        <v>2017</v>
      </c>
      <c r="D61" s="88" t="s">
        <v>619</v>
      </c>
      <c r="E61" s="152" t="s">
        <v>136</v>
      </c>
      <c r="F61" s="90" t="s">
        <v>137</v>
      </c>
      <c r="G61" s="20">
        <v>5</v>
      </c>
      <c r="H61" s="90">
        <v>17</v>
      </c>
      <c r="I61" s="90"/>
      <c r="J61" s="163">
        <v>173</v>
      </c>
      <c r="K61" s="155">
        <v>94.6</v>
      </c>
      <c r="L61" s="88">
        <v>37</v>
      </c>
      <c r="M61" s="89">
        <v>720</v>
      </c>
      <c r="N61" s="89"/>
      <c r="O61" s="163">
        <v>145</v>
      </c>
      <c r="P61" s="155">
        <v>62.9</v>
      </c>
      <c r="Q61" s="88">
        <v>30</v>
      </c>
      <c r="R61" s="88"/>
      <c r="S61" s="157">
        <f t="shared" si="4"/>
        <v>-0.34856552736054808</v>
      </c>
      <c r="T61" s="90">
        <v>1</v>
      </c>
      <c r="U61" s="174">
        <f t="shared" si="5"/>
        <v>-0.34152372539457815</v>
      </c>
      <c r="V61" s="174">
        <f t="shared" si="6"/>
        <v>-0.33756785212745949</v>
      </c>
      <c r="W61" s="174">
        <f t="shared" si="7"/>
        <v>-0.43999484381042409</v>
      </c>
      <c r="X61" s="222"/>
      <c r="Y61" s="90">
        <v>1</v>
      </c>
      <c r="Z61" s="224" t="s">
        <v>63</v>
      </c>
      <c r="AA61" s="159" t="s">
        <v>32</v>
      </c>
      <c r="AB61" s="224" t="s">
        <v>48</v>
      </c>
    </row>
    <row r="62" spans="1:55" s="159" customFormat="1" ht="18.75" customHeight="1" x14ac:dyDescent="0.2">
      <c r="A62" s="90" t="s">
        <v>292</v>
      </c>
      <c r="B62" s="90" t="s">
        <v>60</v>
      </c>
      <c r="C62" s="88">
        <v>2017</v>
      </c>
      <c r="D62" s="88" t="s">
        <v>619</v>
      </c>
      <c r="E62" s="152" t="s">
        <v>622</v>
      </c>
      <c r="F62" s="90" t="s">
        <v>298</v>
      </c>
      <c r="G62" s="20">
        <v>5</v>
      </c>
      <c r="H62" s="90">
        <v>18</v>
      </c>
      <c r="I62" s="90"/>
      <c r="J62" s="164">
        <v>307</v>
      </c>
      <c r="K62" s="199">
        <v>42</v>
      </c>
      <c r="L62" s="90">
        <v>37</v>
      </c>
      <c r="M62" s="89">
        <v>720</v>
      </c>
      <c r="N62" s="89"/>
      <c r="O62" s="164">
        <v>281</v>
      </c>
      <c r="P62" s="199">
        <v>31.3</v>
      </c>
      <c r="Q62" s="90">
        <v>30</v>
      </c>
      <c r="R62" s="90"/>
      <c r="S62" s="157">
        <f t="shared" si="4"/>
        <v>-0.70197367472588612</v>
      </c>
      <c r="T62" s="90">
        <v>1</v>
      </c>
      <c r="U62" s="174">
        <f t="shared" si="5"/>
        <v>-0.69141183141224827</v>
      </c>
      <c r="V62" s="174">
        <f t="shared" si="6"/>
        <v>-0.68340320016036893</v>
      </c>
      <c r="W62" s="174">
        <f t="shared" si="7"/>
        <v>-0.82104925555404795</v>
      </c>
      <c r="X62" s="222"/>
      <c r="Y62" s="90">
        <v>1</v>
      </c>
      <c r="Z62" s="224" t="s">
        <v>63</v>
      </c>
      <c r="AA62" s="159" t="s">
        <v>32</v>
      </c>
      <c r="AB62" s="224" t="s">
        <v>48</v>
      </c>
    </row>
    <row r="63" spans="1:55" s="159" customFormat="1" ht="18.75" customHeight="1" x14ac:dyDescent="0.2">
      <c r="A63" s="90" t="s">
        <v>292</v>
      </c>
      <c r="B63" s="90" t="s">
        <v>60</v>
      </c>
      <c r="C63" s="88">
        <v>2017</v>
      </c>
      <c r="D63" s="88" t="s">
        <v>619</v>
      </c>
      <c r="E63" s="152" t="s">
        <v>299</v>
      </c>
      <c r="F63" s="90" t="s">
        <v>300</v>
      </c>
      <c r="G63" s="20">
        <v>5</v>
      </c>
      <c r="H63" s="90">
        <v>19</v>
      </c>
      <c r="I63" s="90"/>
      <c r="J63" s="164">
        <v>438</v>
      </c>
      <c r="K63" s="199">
        <v>70.599999999999994</v>
      </c>
      <c r="L63" s="90">
        <v>37</v>
      </c>
      <c r="M63" s="89">
        <v>720</v>
      </c>
      <c r="N63" s="89"/>
      <c r="O63" s="164">
        <v>407</v>
      </c>
      <c r="P63" s="199">
        <v>72.2</v>
      </c>
      <c r="Q63" s="90">
        <v>30</v>
      </c>
      <c r="R63" s="90"/>
      <c r="S63" s="157">
        <f t="shared" si="4"/>
        <v>-0.43414641886282429</v>
      </c>
      <c r="T63" s="90">
        <v>1</v>
      </c>
      <c r="U63" s="174">
        <f t="shared" si="5"/>
        <v>-0.43467115985094928</v>
      </c>
      <c r="V63" s="174">
        <f t="shared" si="6"/>
        <v>-0.42963635877159467</v>
      </c>
      <c r="W63" s="174">
        <f t="shared" si="7"/>
        <v>-0.42438956566380392</v>
      </c>
      <c r="X63" s="222"/>
      <c r="Y63" s="90">
        <v>1</v>
      </c>
      <c r="Z63" s="224" t="s">
        <v>63</v>
      </c>
      <c r="AA63" s="159" t="s">
        <v>32</v>
      </c>
      <c r="AB63" s="224" t="s">
        <v>48</v>
      </c>
    </row>
    <row r="64" spans="1:55" s="159" customFormat="1" ht="18.75" customHeight="1" x14ac:dyDescent="0.2">
      <c r="A64" s="90" t="s">
        <v>292</v>
      </c>
      <c r="B64" s="90" t="s">
        <v>60</v>
      </c>
      <c r="C64" s="88">
        <v>2017</v>
      </c>
      <c r="D64" s="88" t="s">
        <v>619</v>
      </c>
      <c r="E64" s="152" t="s">
        <v>301</v>
      </c>
      <c r="F64" s="90" t="s">
        <v>301</v>
      </c>
      <c r="G64" s="20">
        <v>5</v>
      </c>
      <c r="H64" s="90">
        <v>20</v>
      </c>
      <c r="I64" s="90"/>
      <c r="J64" s="164">
        <v>606</v>
      </c>
      <c r="K64" s="199">
        <v>167.6</v>
      </c>
      <c r="L64" s="90">
        <v>37</v>
      </c>
      <c r="M64" s="89">
        <v>720</v>
      </c>
      <c r="N64" s="89"/>
      <c r="O64" s="164">
        <v>498</v>
      </c>
      <c r="P64" s="199">
        <v>71.7</v>
      </c>
      <c r="Q64" s="90">
        <v>30</v>
      </c>
      <c r="R64" s="90"/>
      <c r="S64" s="157">
        <f t="shared" si="4"/>
        <v>-0.83785590572546365</v>
      </c>
      <c r="T64" s="90">
        <v>1</v>
      </c>
      <c r="U64" s="174">
        <f t="shared" si="5"/>
        <v>-0.80833628560573023</v>
      </c>
      <c r="V64" s="174">
        <f t="shared" si="6"/>
        <v>-0.79897331704659047</v>
      </c>
      <c r="W64" s="174">
        <f t="shared" si="7"/>
        <v>-1.4888289365276812</v>
      </c>
      <c r="X64" s="222"/>
      <c r="Y64" s="90">
        <v>1</v>
      </c>
      <c r="Z64" s="224" t="s">
        <v>63</v>
      </c>
      <c r="AA64" s="159" t="s">
        <v>32</v>
      </c>
      <c r="AB64" s="224" t="s">
        <v>48</v>
      </c>
    </row>
    <row r="65" spans="1:29" s="159" customFormat="1" ht="18.75" customHeight="1" x14ac:dyDescent="0.2">
      <c r="A65" s="90" t="s">
        <v>292</v>
      </c>
      <c r="B65" s="90" t="s">
        <v>60</v>
      </c>
      <c r="C65" s="88">
        <v>2017</v>
      </c>
      <c r="D65" s="88" t="s">
        <v>619</v>
      </c>
      <c r="E65" s="152" t="s">
        <v>302</v>
      </c>
      <c r="F65" s="90" t="s">
        <v>302</v>
      </c>
      <c r="G65" s="20">
        <v>5</v>
      </c>
      <c r="H65" s="90">
        <v>21</v>
      </c>
      <c r="I65" s="90"/>
      <c r="J65" s="164">
        <v>1008</v>
      </c>
      <c r="K65" s="199">
        <v>239.7</v>
      </c>
      <c r="L65" s="90">
        <v>37</v>
      </c>
      <c r="M65" s="89">
        <v>720</v>
      </c>
      <c r="N65" s="89"/>
      <c r="O65" s="164">
        <v>841</v>
      </c>
      <c r="P65" s="199">
        <v>126.3</v>
      </c>
      <c r="Q65" s="90">
        <v>30</v>
      </c>
      <c r="R65" s="90"/>
      <c r="S65" s="157">
        <f t="shared" si="4"/>
        <v>-0.87168670832676065</v>
      </c>
      <c r="T65" s="90">
        <v>1</v>
      </c>
      <c r="U65" s="174">
        <f t="shared" si="5"/>
        <v>-0.84630228046477529</v>
      </c>
      <c r="V65" s="174">
        <f t="shared" si="6"/>
        <v>-0.83649955134742271</v>
      </c>
      <c r="W65" s="174">
        <f t="shared" si="7"/>
        <v>-1.306932993393801</v>
      </c>
      <c r="X65" s="222"/>
      <c r="Y65" s="90">
        <v>1</v>
      </c>
      <c r="Z65" s="224" t="s">
        <v>63</v>
      </c>
      <c r="AA65" s="159" t="s">
        <v>32</v>
      </c>
      <c r="AB65" s="224" t="s">
        <v>48</v>
      </c>
    </row>
    <row r="66" spans="1:29" s="159" customFormat="1" ht="21" customHeight="1" x14ac:dyDescent="0.2">
      <c r="A66" s="90" t="s">
        <v>347</v>
      </c>
      <c r="B66" s="90" t="s">
        <v>60</v>
      </c>
      <c r="C66" s="88">
        <v>2017</v>
      </c>
      <c r="D66" s="88" t="s">
        <v>619</v>
      </c>
      <c r="E66" s="152" t="s">
        <v>350</v>
      </c>
      <c r="F66" s="90" t="s">
        <v>351</v>
      </c>
      <c r="G66" s="20">
        <v>5</v>
      </c>
      <c r="H66" s="90">
        <v>22</v>
      </c>
      <c r="I66" s="90"/>
      <c r="J66" s="163">
        <v>897</v>
      </c>
      <c r="K66" s="155">
        <v>138.9</v>
      </c>
      <c r="L66" s="88">
        <v>37</v>
      </c>
      <c r="M66" s="89">
        <v>720</v>
      </c>
      <c r="N66" s="89"/>
      <c r="O66" s="163">
        <v>835</v>
      </c>
      <c r="P66" s="155">
        <v>175.1</v>
      </c>
      <c r="Q66" s="88">
        <v>30</v>
      </c>
      <c r="R66" s="88"/>
      <c r="S66" s="157">
        <f t="shared" si="4"/>
        <v>-0.39230599355025614</v>
      </c>
      <c r="T66" s="90">
        <v>1</v>
      </c>
      <c r="U66" s="174">
        <f t="shared" si="5"/>
        <v>-0.39720296204612926</v>
      </c>
      <c r="V66" s="174">
        <f t="shared" si="6"/>
        <v>-0.39260215553594247</v>
      </c>
      <c r="W66" s="174">
        <f t="shared" si="7"/>
        <v>-0.3499820290225773</v>
      </c>
      <c r="X66" s="222"/>
      <c r="Y66" s="90">
        <v>1</v>
      </c>
      <c r="Z66" s="224" t="s">
        <v>63</v>
      </c>
      <c r="AA66" s="159" t="s">
        <v>32</v>
      </c>
      <c r="AB66" s="224" t="s">
        <v>48</v>
      </c>
    </row>
    <row r="67" spans="1:29" s="159" customFormat="1" ht="18.75" customHeight="1" x14ac:dyDescent="0.2">
      <c r="A67" s="90" t="s">
        <v>347</v>
      </c>
      <c r="B67" s="90" t="s">
        <v>60</v>
      </c>
      <c r="C67" s="88">
        <v>2017</v>
      </c>
      <c r="D67" s="88" t="s">
        <v>619</v>
      </c>
      <c r="E67" s="152" t="s">
        <v>352</v>
      </c>
      <c r="F67" s="90" t="s">
        <v>353</v>
      </c>
      <c r="G67" s="20">
        <v>5</v>
      </c>
      <c r="H67" s="90">
        <v>23</v>
      </c>
      <c r="I67" s="90"/>
      <c r="J67" s="163">
        <v>731</v>
      </c>
      <c r="K67" s="155">
        <v>141.80000000000001</v>
      </c>
      <c r="L67" s="88">
        <v>37</v>
      </c>
      <c r="M67" s="89">
        <v>720</v>
      </c>
      <c r="N67" s="89"/>
      <c r="O67" s="163">
        <v>617</v>
      </c>
      <c r="P67" s="155">
        <v>98.2</v>
      </c>
      <c r="Q67" s="88">
        <v>30</v>
      </c>
      <c r="R67" s="88"/>
      <c r="S67" s="157">
        <f t="shared" si="4"/>
        <v>-0.9347013299102096</v>
      </c>
      <c r="T67" s="90">
        <v>1</v>
      </c>
      <c r="U67" s="174">
        <f t="shared" si="5"/>
        <v>-0.91748649844483676</v>
      </c>
      <c r="V67" s="174">
        <f t="shared" si="6"/>
        <v>-0.90685924170609356</v>
      </c>
      <c r="W67" s="174">
        <f t="shared" si="7"/>
        <v>-1.1474494570217584</v>
      </c>
      <c r="X67" s="222"/>
      <c r="Y67" s="90">
        <v>1</v>
      </c>
      <c r="Z67" s="224" t="s">
        <v>63</v>
      </c>
      <c r="AA67" s="159" t="s">
        <v>32</v>
      </c>
      <c r="AB67" s="224" t="s">
        <v>48</v>
      </c>
    </row>
    <row r="68" spans="1:29" s="159" customFormat="1" ht="18.75" customHeight="1" x14ac:dyDescent="0.2">
      <c r="A68" s="90" t="s">
        <v>347</v>
      </c>
      <c r="B68" s="90" t="s">
        <v>60</v>
      </c>
      <c r="C68" s="88">
        <v>2017</v>
      </c>
      <c r="D68" s="88" t="s">
        <v>619</v>
      </c>
      <c r="E68" s="152" t="s">
        <v>354</v>
      </c>
      <c r="F68" s="90" t="s">
        <v>355</v>
      </c>
      <c r="G68" s="20">
        <v>5</v>
      </c>
      <c r="H68" s="90">
        <v>24</v>
      </c>
      <c r="I68" s="90"/>
      <c r="J68" s="163">
        <v>574</v>
      </c>
      <c r="K68" s="155">
        <v>120</v>
      </c>
      <c r="L68" s="88">
        <v>37</v>
      </c>
      <c r="M68" s="89">
        <v>720</v>
      </c>
      <c r="N68" s="89"/>
      <c r="O68" s="163">
        <v>507</v>
      </c>
      <c r="P68" s="155">
        <v>93.3</v>
      </c>
      <c r="Q68" s="88">
        <v>30</v>
      </c>
      <c r="R68" s="88"/>
      <c r="S68" s="157">
        <f t="shared" si="4"/>
        <v>-0.62335844560987985</v>
      </c>
      <c r="T68" s="90">
        <v>1</v>
      </c>
      <c r="U68" s="174">
        <f t="shared" si="5"/>
        <v>-0.61524607216505411</v>
      </c>
      <c r="V68" s="174">
        <f t="shared" si="6"/>
        <v>-0.60811966978476395</v>
      </c>
      <c r="W68" s="174">
        <f t="shared" si="7"/>
        <v>-0.70979569371852336</v>
      </c>
      <c r="X68" s="222"/>
      <c r="Y68" s="90">
        <v>1</v>
      </c>
      <c r="Z68" s="224" t="s">
        <v>63</v>
      </c>
      <c r="AA68" s="159" t="s">
        <v>32</v>
      </c>
      <c r="AB68" s="224" t="s">
        <v>48</v>
      </c>
    </row>
    <row r="69" spans="1:29" s="159" customFormat="1" ht="18.75" customHeight="1" x14ac:dyDescent="0.2">
      <c r="A69" s="90" t="s">
        <v>347</v>
      </c>
      <c r="B69" s="90" t="s">
        <v>60</v>
      </c>
      <c r="C69" s="88">
        <v>2017</v>
      </c>
      <c r="D69" s="88" t="s">
        <v>619</v>
      </c>
      <c r="E69" s="152" t="s">
        <v>356</v>
      </c>
      <c r="F69" s="90" t="s">
        <v>357</v>
      </c>
      <c r="G69" s="20">
        <v>5</v>
      </c>
      <c r="H69" s="90">
        <v>25</v>
      </c>
      <c r="I69" s="90"/>
      <c r="J69" s="163">
        <v>795</v>
      </c>
      <c r="K69" s="155">
        <v>296.7</v>
      </c>
      <c r="L69" s="88">
        <v>37</v>
      </c>
      <c r="M69" s="89">
        <v>720</v>
      </c>
      <c r="N69" s="89"/>
      <c r="O69" s="163">
        <v>604</v>
      </c>
      <c r="P69" s="155">
        <v>103.6</v>
      </c>
      <c r="Q69" s="88">
        <v>30</v>
      </c>
      <c r="R69" s="88"/>
      <c r="S69" s="157">
        <f t="shared" si="4"/>
        <v>-0.85950688414051912</v>
      </c>
      <c r="T69" s="90">
        <v>1</v>
      </c>
      <c r="U69" s="174">
        <f t="shared" si="5"/>
        <v>-0.82542471718316868</v>
      </c>
      <c r="V69" s="174">
        <f t="shared" si="6"/>
        <v>-0.81586381312313194</v>
      </c>
      <c r="W69" s="174">
        <f t="shared" si="7"/>
        <v>-1.8222745635873052</v>
      </c>
      <c r="X69" s="222"/>
      <c r="Y69" s="90">
        <v>1</v>
      </c>
      <c r="Z69" s="224" t="s">
        <v>63</v>
      </c>
      <c r="AA69" s="159" t="s">
        <v>32</v>
      </c>
      <c r="AB69" s="224" t="s">
        <v>48</v>
      </c>
    </row>
    <row r="70" spans="1:29" s="159" customFormat="1" ht="18.75" customHeight="1" x14ac:dyDescent="0.2">
      <c r="A70" s="90" t="s">
        <v>383</v>
      </c>
      <c r="B70" s="90" t="s">
        <v>397</v>
      </c>
      <c r="C70" s="88">
        <v>2020</v>
      </c>
      <c r="D70" s="88" t="s">
        <v>619</v>
      </c>
      <c r="E70" s="152" t="s">
        <v>402</v>
      </c>
      <c r="F70" s="90" t="s">
        <v>403</v>
      </c>
      <c r="G70" s="20">
        <v>5</v>
      </c>
      <c r="H70" s="90">
        <v>26</v>
      </c>
      <c r="I70" s="90"/>
      <c r="J70" s="164">
        <v>5.6</v>
      </c>
      <c r="K70" s="199">
        <v>1.2</v>
      </c>
      <c r="L70" s="90">
        <v>20</v>
      </c>
      <c r="M70" s="89">
        <v>670</v>
      </c>
      <c r="N70" s="89"/>
      <c r="O70" s="164">
        <v>4.7</v>
      </c>
      <c r="P70" s="199">
        <v>1.3</v>
      </c>
      <c r="Q70" s="90">
        <v>25</v>
      </c>
      <c r="R70" s="90"/>
      <c r="S70" s="157">
        <f t="shared" si="4"/>
        <v>-0.71942469027968792</v>
      </c>
      <c r="T70" s="90">
        <v>1</v>
      </c>
      <c r="U70" s="174">
        <f t="shared" si="5"/>
        <v>-0.71610696636686288</v>
      </c>
      <c r="V70" s="174">
        <f t="shared" si="6"/>
        <v>-0.7035436862551635</v>
      </c>
      <c r="W70" s="174">
        <f t="shared" si="7"/>
        <v>-0.68016194331983759</v>
      </c>
      <c r="X70" s="222"/>
      <c r="Y70" s="90">
        <v>2</v>
      </c>
      <c r="Z70" s="224" t="s">
        <v>31</v>
      </c>
      <c r="AA70" s="159" t="s">
        <v>32</v>
      </c>
      <c r="AB70" s="224" t="s">
        <v>31</v>
      </c>
    </row>
    <row r="71" spans="1:29" s="159" customFormat="1" ht="18.75" customHeight="1" x14ac:dyDescent="0.2">
      <c r="A71" s="90" t="s">
        <v>383</v>
      </c>
      <c r="B71" s="90" t="s">
        <v>397</v>
      </c>
      <c r="C71" s="88">
        <v>2020</v>
      </c>
      <c r="D71" s="88" t="s">
        <v>619</v>
      </c>
      <c r="E71" s="152" t="s">
        <v>405</v>
      </c>
      <c r="F71" s="90" t="s">
        <v>406</v>
      </c>
      <c r="G71" s="20">
        <v>5</v>
      </c>
      <c r="H71" s="90">
        <v>27</v>
      </c>
      <c r="I71" s="90"/>
      <c r="J71" s="164">
        <v>5.5</v>
      </c>
      <c r="K71" s="199">
        <v>2</v>
      </c>
      <c r="L71" s="90">
        <v>20</v>
      </c>
      <c r="M71" s="89">
        <v>670</v>
      </c>
      <c r="N71" s="89"/>
      <c r="O71" s="164">
        <v>4.5</v>
      </c>
      <c r="P71" s="199">
        <v>1.9</v>
      </c>
      <c r="Q71" s="90">
        <v>25</v>
      </c>
      <c r="R71" s="90"/>
      <c r="S71" s="157">
        <f t="shared" si="4"/>
        <v>-0.51265201585101605</v>
      </c>
      <c r="T71" s="90">
        <v>1</v>
      </c>
      <c r="U71" s="174">
        <f t="shared" si="5"/>
        <v>-0.51418635194385709</v>
      </c>
      <c r="V71" s="174">
        <f t="shared" si="6"/>
        <v>-0.50516553875185954</v>
      </c>
      <c r="W71" s="174">
        <f t="shared" si="7"/>
        <v>-0.51708217913204058</v>
      </c>
      <c r="X71" s="222"/>
      <c r="Y71" s="90">
        <v>2</v>
      </c>
      <c r="Z71" s="224" t="s">
        <v>31</v>
      </c>
      <c r="AA71" s="159" t="s">
        <v>32</v>
      </c>
      <c r="AB71" s="224" t="s">
        <v>31</v>
      </c>
    </row>
    <row r="72" spans="1:29" s="159" customFormat="1" ht="18.75" customHeight="1" x14ac:dyDescent="0.2">
      <c r="A72" s="90" t="s">
        <v>101</v>
      </c>
      <c r="B72" s="90" t="s">
        <v>127</v>
      </c>
      <c r="C72" s="88">
        <v>2018</v>
      </c>
      <c r="D72" s="88" t="s">
        <v>619</v>
      </c>
      <c r="E72" s="152" t="s">
        <v>130</v>
      </c>
      <c r="F72" s="90" t="s">
        <v>131</v>
      </c>
      <c r="G72" s="20">
        <v>5</v>
      </c>
      <c r="H72" s="90">
        <v>28</v>
      </c>
      <c r="I72" s="90"/>
      <c r="J72" s="163">
        <v>0.7</v>
      </c>
      <c r="K72" s="155">
        <v>1.4</v>
      </c>
      <c r="L72" s="88">
        <v>15</v>
      </c>
      <c r="M72" s="89">
        <v>751.2</v>
      </c>
      <c r="N72" s="89"/>
      <c r="O72" s="163">
        <v>1.3</v>
      </c>
      <c r="P72" s="155">
        <v>2</v>
      </c>
      <c r="Q72" s="88">
        <v>24</v>
      </c>
      <c r="R72" s="88"/>
      <c r="S72" s="157">
        <f t="shared" si="4"/>
        <v>0.34757066781809542</v>
      </c>
      <c r="T72" s="90">
        <v>1</v>
      </c>
      <c r="U72" s="174">
        <f t="shared" si="5"/>
        <v>0.33394674525605611</v>
      </c>
      <c r="V72" s="174">
        <f t="shared" si="6"/>
        <v>0.32713150555695292</v>
      </c>
      <c r="W72" s="174">
        <f t="shared" si="7"/>
        <v>0.29387755102040819</v>
      </c>
      <c r="X72" s="222"/>
      <c r="Y72" s="90">
        <v>1</v>
      </c>
      <c r="Z72" s="224" t="s">
        <v>63</v>
      </c>
      <c r="AA72" s="159" t="s">
        <v>32</v>
      </c>
      <c r="AB72" s="224" t="s">
        <v>48</v>
      </c>
    </row>
    <row r="73" spans="1:29" s="159" customFormat="1" ht="18.75" customHeight="1" x14ac:dyDescent="0.2">
      <c r="A73" s="90" t="s">
        <v>173</v>
      </c>
      <c r="B73" s="90" t="s">
        <v>127</v>
      </c>
      <c r="C73" s="88">
        <v>2018</v>
      </c>
      <c r="D73" s="88" t="s">
        <v>619</v>
      </c>
      <c r="E73" s="152" t="s">
        <v>189</v>
      </c>
      <c r="F73" s="90" t="s">
        <v>190</v>
      </c>
      <c r="G73" s="20">
        <v>5</v>
      </c>
      <c r="H73" s="90">
        <v>29</v>
      </c>
      <c r="I73" s="90"/>
      <c r="J73" s="164">
        <v>58.9</v>
      </c>
      <c r="K73" s="199">
        <v>34.299999999999997</v>
      </c>
      <c r="L73" s="90">
        <v>22</v>
      </c>
      <c r="M73" s="89">
        <v>751.2</v>
      </c>
      <c r="N73" s="89"/>
      <c r="O73" s="164">
        <v>41</v>
      </c>
      <c r="P73" s="199">
        <v>13</v>
      </c>
      <c r="Q73" s="90">
        <v>25</v>
      </c>
      <c r="R73" s="90"/>
      <c r="S73" s="157">
        <f t="shared" si="4"/>
        <v>-0.69012505005173985</v>
      </c>
      <c r="T73" s="90">
        <v>1</v>
      </c>
      <c r="U73" s="174">
        <f t="shared" si="5"/>
        <v>-0.70802331230933468</v>
      </c>
      <c r="V73" s="174">
        <f t="shared" si="6"/>
        <v>-0.69615699981253021</v>
      </c>
      <c r="W73" s="174">
        <f t="shared" si="7"/>
        <v>-1.3538461538461537</v>
      </c>
      <c r="X73" s="222"/>
      <c r="Y73" s="90">
        <v>1</v>
      </c>
      <c r="Z73" s="224" t="s">
        <v>63</v>
      </c>
      <c r="AA73" s="159" t="s">
        <v>32</v>
      </c>
      <c r="AB73" s="224" t="s">
        <v>48</v>
      </c>
    </row>
    <row r="74" spans="1:29" s="159" customFormat="1" ht="18.75" customHeight="1" x14ac:dyDescent="0.2">
      <c r="A74" s="90" t="s">
        <v>173</v>
      </c>
      <c r="B74" s="90" t="s">
        <v>127</v>
      </c>
      <c r="C74" s="88">
        <v>2018</v>
      </c>
      <c r="D74" s="88" t="s">
        <v>619</v>
      </c>
      <c r="E74" s="152" t="s">
        <v>193</v>
      </c>
      <c r="F74" s="90" t="s">
        <v>194</v>
      </c>
      <c r="G74" s="20">
        <v>5</v>
      </c>
      <c r="H74" s="90">
        <v>30</v>
      </c>
      <c r="I74" s="90"/>
      <c r="J74" s="164">
        <v>91.6</v>
      </c>
      <c r="K74" s="199">
        <v>44</v>
      </c>
      <c r="L74" s="90">
        <v>22</v>
      </c>
      <c r="M74" s="89">
        <v>751.2</v>
      </c>
      <c r="N74" s="89"/>
      <c r="O74" s="164">
        <v>76.900000000000006</v>
      </c>
      <c r="P74" s="199">
        <v>23</v>
      </c>
      <c r="Q74" s="90">
        <v>25</v>
      </c>
      <c r="R74" s="90"/>
      <c r="S74" s="157">
        <f t="shared" si="4"/>
        <v>-0.41872015954347519</v>
      </c>
      <c r="T74" s="90">
        <v>1</v>
      </c>
      <c r="U74" s="174">
        <f t="shared" si="5"/>
        <v>-0.42692170915635996</v>
      </c>
      <c r="V74" s="174">
        <f t="shared" si="6"/>
        <v>-0.41976659671239863</v>
      </c>
      <c r="W74" s="174">
        <f t="shared" si="7"/>
        <v>-0.62841875151809523</v>
      </c>
      <c r="X74" s="222"/>
      <c r="Y74" s="90">
        <v>1</v>
      </c>
      <c r="Z74" s="224" t="s">
        <v>63</v>
      </c>
      <c r="AA74" s="159" t="s">
        <v>32</v>
      </c>
      <c r="AB74" s="224" t="s">
        <v>48</v>
      </c>
    </row>
    <row r="75" spans="1:29" s="159" customFormat="1" ht="18.75" customHeight="1" x14ac:dyDescent="0.2">
      <c r="A75" s="90" t="s">
        <v>173</v>
      </c>
      <c r="B75" s="90" t="s">
        <v>127</v>
      </c>
      <c r="C75" s="88">
        <v>2018</v>
      </c>
      <c r="D75" s="88" t="s">
        <v>619</v>
      </c>
      <c r="E75" s="152" t="s">
        <v>197</v>
      </c>
      <c r="F75" s="90" t="s">
        <v>198</v>
      </c>
      <c r="G75" s="20">
        <v>5</v>
      </c>
      <c r="H75" s="90">
        <v>31</v>
      </c>
      <c r="I75" s="90"/>
      <c r="J75" s="164">
        <v>157.9</v>
      </c>
      <c r="K75" s="199">
        <v>54.6</v>
      </c>
      <c r="L75" s="90">
        <v>22</v>
      </c>
      <c r="M75" s="89">
        <v>751.2</v>
      </c>
      <c r="N75" s="89"/>
      <c r="O75" s="164">
        <v>119.2</v>
      </c>
      <c r="P75" s="199">
        <v>40</v>
      </c>
      <c r="Q75" s="90">
        <v>25</v>
      </c>
      <c r="R75" s="90"/>
      <c r="S75" s="157">
        <f t="shared" si="4"/>
        <v>-0.80860837068414182</v>
      </c>
      <c r="T75" s="90">
        <v>1</v>
      </c>
      <c r="U75" s="174">
        <f t="shared" si="5"/>
        <v>-0.81685911840552716</v>
      </c>
      <c r="V75" s="174">
        <f t="shared" si="6"/>
        <v>-0.80316874211940092</v>
      </c>
      <c r="W75" s="174">
        <f t="shared" si="7"/>
        <v>-0.95128491620111733</v>
      </c>
      <c r="X75" s="222"/>
      <c r="Y75" s="90">
        <v>1</v>
      </c>
      <c r="Z75" s="224" t="s">
        <v>63</v>
      </c>
      <c r="AA75" s="159" t="s">
        <v>32</v>
      </c>
      <c r="AB75" s="224" t="s">
        <v>48</v>
      </c>
    </row>
    <row r="76" spans="1:29" s="159" customFormat="1" ht="18.75" customHeight="1" x14ac:dyDescent="0.2">
      <c r="A76" s="90" t="s">
        <v>347</v>
      </c>
      <c r="B76" s="90" t="s">
        <v>127</v>
      </c>
      <c r="C76" s="88">
        <v>2018</v>
      </c>
      <c r="D76" s="88" t="s">
        <v>619</v>
      </c>
      <c r="E76" s="152" t="s">
        <v>348</v>
      </c>
      <c r="F76" s="90" t="s">
        <v>349</v>
      </c>
      <c r="G76" s="20">
        <v>5</v>
      </c>
      <c r="H76" s="90">
        <v>32</v>
      </c>
      <c r="I76" s="90"/>
      <c r="J76" s="163">
        <v>704.5</v>
      </c>
      <c r="K76" s="155">
        <v>147.30000000000001</v>
      </c>
      <c r="L76" s="88">
        <v>15</v>
      </c>
      <c r="M76" s="89">
        <v>751.2</v>
      </c>
      <c r="N76" s="89"/>
      <c r="O76" s="163">
        <v>679</v>
      </c>
      <c r="P76" s="155">
        <v>143.1</v>
      </c>
      <c r="Q76" s="88">
        <v>24</v>
      </c>
      <c r="R76" s="88"/>
      <c r="S76" s="157">
        <f t="shared" si="4"/>
        <v>-0.17560147013923155</v>
      </c>
      <c r="T76" s="90">
        <v>1</v>
      </c>
      <c r="U76" s="174">
        <f t="shared" si="5"/>
        <v>-0.17622238131814019</v>
      </c>
      <c r="V76" s="174">
        <f t="shared" si="6"/>
        <v>-0.17262600618919854</v>
      </c>
      <c r="W76" s="174">
        <f t="shared" si="7"/>
        <v>-0.17456039019381336</v>
      </c>
      <c r="X76" s="222"/>
      <c r="Y76" s="90">
        <v>1</v>
      </c>
      <c r="Z76" s="224" t="s">
        <v>63</v>
      </c>
      <c r="AA76" s="159" t="s">
        <v>32</v>
      </c>
      <c r="AB76" s="224" t="s">
        <v>48</v>
      </c>
    </row>
    <row r="77" spans="1:29" s="159" customFormat="1" ht="18.75" customHeight="1" x14ac:dyDescent="0.2">
      <c r="A77" s="90" t="s">
        <v>292</v>
      </c>
      <c r="B77" s="88" t="s">
        <v>77</v>
      </c>
      <c r="C77" s="88">
        <v>2020</v>
      </c>
      <c r="D77" s="88" t="s">
        <v>619</v>
      </c>
      <c r="E77" s="152" t="s">
        <v>299</v>
      </c>
      <c r="F77" s="90" t="s">
        <v>300</v>
      </c>
      <c r="G77" s="21">
        <v>6</v>
      </c>
      <c r="H77" s="90">
        <v>33</v>
      </c>
      <c r="I77" s="90"/>
      <c r="J77" s="163">
        <v>483</v>
      </c>
      <c r="K77" s="155">
        <v>104</v>
      </c>
      <c r="L77" s="88">
        <v>19</v>
      </c>
      <c r="M77" s="89">
        <v>1042</v>
      </c>
      <c r="N77" s="89"/>
      <c r="O77" s="163">
        <v>430</v>
      </c>
      <c r="P77" s="155">
        <v>58</v>
      </c>
      <c r="Q77" s="88">
        <v>19</v>
      </c>
      <c r="R77" s="88"/>
      <c r="S77" s="157">
        <f t="shared" si="4"/>
        <v>-0.62943770101896013</v>
      </c>
      <c r="T77" s="90">
        <v>1</v>
      </c>
      <c r="U77" s="174">
        <f t="shared" si="5"/>
        <v>-0.62943770101896013</v>
      </c>
      <c r="V77" s="174">
        <f t="shared" si="6"/>
        <v>-0.6162327142842966</v>
      </c>
      <c r="W77" s="174">
        <f t="shared" si="7"/>
        <v>-0.89462261876054994</v>
      </c>
      <c r="X77" s="222"/>
      <c r="Y77" s="90">
        <v>1</v>
      </c>
      <c r="Z77" s="224" t="s">
        <v>63</v>
      </c>
      <c r="AA77" s="159" t="s">
        <v>44</v>
      </c>
      <c r="AB77" s="224" t="s">
        <v>48</v>
      </c>
    </row>
    <row r="78" spans="1:29" s="159" customFormat="1" ht="18.75" customHeight="1" x14ac:dyDescent="0.2">
      <c r="A78" s="90" t="s">
        <v>292</v>
      </c>
      <c r="B78" s="88" t="s">
        <v>77</v>
      </c>
      <c r="C78" s="88">
        <v>2020</v>
      </c>
      <c r="D78" s="88" t="s">
        <v>619</v>
      </c>
      <c r="E78" s="152" t="s">
        <v>301</v>
      </c>
      <c r="F78" s="90" t="s">
        <v>301</v>
      </c>
      <c r="G78" s="21">
        <v>6</v>
      </c>
      <c r="H78" s="90">
        <v>34</v>
      </c>
      <c r="I78" s="90"/>
      <c r="J78" s="163">
        <v>752</v>
      </c>
      <c r="K78" s="155">
        <v>262</v>
      </c>
      <c r="L78" s="88">
        <v>19</v>
      </c>
      <c r="M78" s="89">
        <v>1042</v>
      </c>
      <c r="N78" s="89"/>
      <c r="O78" s="163">
        <v>586</v>
      </c>
      <c r="P78" s="155">
        <v>113</v>
      </c>
      <c r="Q78" s="88">
        <v>19</v>
      </c>
      <c r="R78" s="88"/>
      <c r="S78" s="157">
        <f t="shared" si="4"/>
        <v>-0.82276575383526052</v>
      </c>
      <c r="T78" s="90">
        <v>1</v>
      </c>
      <c r="U78" s="174">
        <f t="shared" si="5"/>
        <v>-0.82276575383526052</v>
      </c>
      <c r="V78" s="174">
        <f t="shared" si="6"/>
        <v>-0.80550493382473065</v>
      </c>
      <c r="W78" s="174">
        <f t="shared" si="7"/>
        <v>-1.4382078098892259</v>
      </c>
      <c r="X78" s="222"/>
      <c r="Y78" s="90">
        <v>1</v>
      </c>
      <c r="Z78" s="224" t="s">
        <v>63</v>
      </c>
      <c r="AA78" s="159" t="s">
        <v>44</v>
      </c>
      <c r="AB78" s="224" t="s">
        <v>48</v>
      </c>
    </row>
    <row r="79" spans="1:29" s="159" customFormat="1" ht="18.75" customHeight="1" x14ac:dyDescent="0.2">
      <c r="A79" s="90" t="s">
        <v>292</v>
      </c>
      <c r="B79" s="88" t="s">
        <v>77</v>
      </c>
      <c r="C79" s="88">
        <v>2020</v>
      </c>
      <c r="D79" s="88" t="s">
        <v>619</v>
      </c>
      <c r="E79" s="152" t="s">
        <v>302</v>
      </c>
      <c r="F79" s="90" t="s">
        <v>302</v>
      </c>
      <c r="G79" s="21">
        <v>6</v>
      </c>
      <c r="H79" s="90">
        <v>35</v>
      </c>
      <c r="I79" s="90"/>
      <c r="J79" s="163">
        <v>1152</v>
      </c>
      <c r="K79" s="155">
        <v>237</v>
      </c>
      <c r="L79" s="88">
        <v>19</v>
      </c>
      <c r="M79" s="89">
        <v>1042</v>
      </c>
      <c r="N79" s="89"/>
      <c r="O79" s="163">
        <v>938</v>
      </c>
      <c r="P79" s="155">
        <v>203</v>
      </c>
      <c r="Q79" s="88">
        <v>19</v>
      </c>
      <c r="R79" s="88"/>
      <c r="S79" s="157">
        <f t="shared" si="4"/>
        <v>-0.9698361004090521</v>
      </c>
      <c r="T79" s="90">
        <v>1</v>
      </c>
      <c r="U79" s="174">
        <f t="shared" si="5"/>
        <v>-0.9698361004090521</v>
      </c>
      <c r="V79" s="174">
        <f t="shared" si="6"/>
        <v>-0.94948988851235872</v>
      </c>
      <c r="W79" s="174">
        <f t="shared" si="7"/>
        <v>-1.0320713768989631</v>
      </c>
      <c r="X79" s="222"/>
      <c r="Y79" s="90">
        <v>1</v>
      </c>
      <c r="Z79" s="224" t="s">
        <v>63</v>
      </c>
      <c r="AA79" s="159" t="s">
        <v>44</v>
      </c>
      <c r="AB79" s="224" t="s">
        <v>48</v>
      </c>
    </row>
    <row r="80" spans="1:29" s="159" customFormat="1" ht="18.75" customHeight="1" x14ac:dyDescent="0.2">
      <c r="A80" s="90" t="s">
        <v>146</v>
      </c>
      <c r="B80" s="90" t="s">
        <v>154</v>
      </c>
      <c r="C80" s="88">
        <v>1994</v>
      </c>
      <c r="D80" s="88" t="s">
        <v>619</v>
      </c>
      <c r="E80" s="152" t="s">
        <v>157</v>
      </c>
      <c r="F80" s="90" t="s">
        <v>158</v>
      </c>
      <c r="G80" s="20">
        <v>7</v>
      </c>
      <c r="H80" s="90">
        <v>36</v>
      </c>
      <c r="I80" s="90"/>
      <c r="J80" s="163">
        <v>1010</v>
      </c>
      <c r="K80" s="155">
        <v>1318</v>
      </c>
      <c r="L80" s="88">
        <v>19</v>
      </c>
      <c r="M80" s="89">
        <v>1332</v>
      </c>
      <c r="N80" s="89"/>
      <c r="O80" s="163">
        <v>729</v>
      </c>
      <c r="P80" s="155">
        <v>691</v>
      </c>
      <c r="Q80" s="88">
        <v>20</v>
      </c>
      <c r="R80" s="88"/>
      <c r="S80" s="157">
        <f t="shared" si="4"/>
        <v>-0.26703806949163555</v>
      </c>
      <c r="T80" s="90">
        <v>1</v>
      </c>
      <c r="U80" s="174">
        <f t="shared" si="5"/>
        <v>-0.2691145864946321</v>
      </c>
      <c r="V80" s="174">
        <f t="shared" si="6"/>
        <v>-0.2636224520763743</v>
      </c>
      <c r="W80" s="174">
        <f t="shared" si="7"/>
        <v>-0.39835789598038929</v>
      </c>
      <c r="X80" s="222"/>
      <c r="Y80" s="156" t="s">
        <v>75</v>
      </c>
      <c r="Z80" s="224" t="s">
        <v>143</v>
      </c>
      <c r="AA80" s="158" t="s">
        <v>44</v>
      </c>
      <c r="AB80" s="224" t="s">
        <v>143</v>
      </c>
      <c r="AC80" s="224"/>
    </row>
    <row r="81" spans="1:28" s="159" customFormat="1" ht="18.75" customHeight="1" x14ac:dyDescent="0.2">
      <c r="A81" s="90" t="s">
        <v>347</v>
      </c>
      <c r="B81" s="90" t="s">
        <v>110</v>
      </c>
      <c r="C81" s="88">
        <v>2011</v>
      </c>
      <c r="D81" s="88" t="s">
        <v>619</v>
      </c>
      <c r="E81" s="152" t="s">
        <v>358</v>
      </c>
      <c r="F81" s="90" t="s">
        <v>360</v>
      </c>
      <c r="G81" s="20">
        <v>8</v>
      </c>
      <c r="H81" s="90">
        <v>37</v>
      </c>
      <c r="I81" s="90"/>
      <c r="J81" s="163">
        <v>863.3</v>
      </c>
      <c r="K81" s="155">
        <v>175.1</v>
      </c>
      <c r="L81" s="88">
        <v>8</v>
      </c>
      <c r="M81" s="89">
        <v>1210</v>
      </c>
      <c r="N81" s="89"/>
      <c r="O81" s="163">
        <v>838.1</v>
      </c>
      <c r="P81" s="155">
        <v>135.5</v>
      </c>
      <c r="Q81" s="88">
        <v>15</v>
      </c>
      <c r="R81" s="88"/>
      <c r="S81" s="157">
        <f t="shared" si="4"/>
        <v>-0.16096362105408038</v>
      </c>
      <c r="T81" s="90">
        <v>1</v>
      </c>
      <c r="U81" s="174">
        <f t="shared" si="5"/>
        <v>-0.16814889638061556</v>
      </c>
      <c r="V81" s="174">
        <f t="shared" si="6"/>
        <v>-0.16207122542709934</v>
      </c>
      <c r="W81" s="174">
        <f t="shared" si="7"/>
        <v>-0.17925576846129859</v>
      </c>
      <c r="X81" s="222"/>
      <c r="Y81" s="90">
        <v>1</v>
      </c>
      <c r="Z81" s="224" t="s">
        <v>63</v>
      </c>
      <c r="AA81" s="224" t="s">
        <v>109</v>
      </c>
      <c r="AB81" s="224" t="s">
        <v>48</v>
      </c>
    </row>
    <row r="83" spans="1:28" x14ac:dyDescent="0.25">
      <c r="U83" s="23">
        <f>AVERAGE(U45:U81)</f>
        <v>-0.42672504708832742</v>
      </c>
      <c r="V83" s="23">
        <f>AVERAGE(V45:V81)</f>
        <v>-0.42083621044223951</v>
      </c>
      <c r="W83" s="167">
        <f>AVERAGE(W45:W81)</f>
        <v>-0.57826554934728591</v>
      </c>
    </row>
    <row r="84" spans="1:28" x14ac:dyDescent="0.25">
      <c r="A84" s="219" t="s">
        <v>661</v>
      </c>
    </row>
    <row r="85" spans="1:28" ht="26.25" customHeight="1" x14ac:dyDescent="0.2">
      <c r="A85" s="20" t="s">
        <v>101</v>
      </c>
      <c r="B85" s="20" t="s">
        <v>120</v>
      </c>
      <c r="C85" s="21">
        <v>2007</v>
      </c>
      <c r="D85" s="21" t="s">
        <v>618</v>
      </c>
      <c r="E85" s="22" t="s">
        <v>121</v>
      </c>
      <c r="F85" s="20" t="s">
        <v>122</v>
      </c>
      <c r="G85" s="20">
        <v>3</v>
      </c>
      <c r="H85" s="20">
        <v>4</v>
      </c>
      <c r="I85" s="20"/>
      <c r="J85" s="24">
        <v>0.95</v>
      </c>
      <c r="K85" s="25">
        <v>0.55000000000000004</v>
      </c>
      <c r="L85" s="21">
        <v>25</v>
      </c>
      <c r="M85" s="26">
        <v>1285.68</v>
      </c>
      <c r="N85" s="26"/>
      <c r="O85" s="24">
        <v>2.06</v>
      </c>
      <c r="P85" s="25">
        <v>0.48</v>
      </c>
      <c r="Q85" s="21">
        <v>45</v>
      </c>
      <c r="R85" s="21"/>
      <c r="S85" s="27">
        <f>(O85-J85)/SQRT((P85^2+K85^2)/2)</f>
        <v>2.1503795263481309</v>
      </c>
      <c r="T85" s="20">
        <v>1</v>
      </c>
      <c r="U85" s="23">
        <f>(O85-J85)/SQRT((((Q85-1)*P85^2) + ((L85-1)*K85^2))/(Q85+L85-2))*T85</f>
        <v>2.194485746614788</v>
      </c>
      <c r="V85" s="23">
        <f>U85*(1-(3/(4*(L85+Q85-2) -1)))</f>
        <v>2.1701925464677609</v>
      </c>
      <c r="W85" s="23">
        <f>((O85-J85)/P85)*T85 * (1-(3/(4*(L85+Q85-2)-1)))</f>
        <v>2.2869003690036904</v>
      </c>
      <c r="X85" s="28"/>
      <c r="Y85" s="20">
        <v>2</v>
      </c>
      <c r="Z85" s="29" t="s">
        <v>31</v>
      </c>
      <c r="AA85" s="8" t="s">
        <v>32</v>
      </c>
      <c r="AB85" s="29" t="s">
        <v>31</v>
      </c>
    </row>
    <row r="86" spans="1:28" ht="27.75" customHeight="1" x14ac:dyDescent="0.2">
      <c r="A86" s="20" t="s">
        <v>101</v>
      </c>
      <c r="B86" s="20" t="s">
        <v>120</v>
      </c>
      <c r="C86" s="21">
        <v>2007</v>
      </c>
      <c r="D86" s="21" t="s">
        <v>619</v>
      </c>
      <c r="E86" s="22" t="s">
        <v>123</v>
      </c>
      <c r="F86" s="20" t="s">
        <v>124</v>
      </c>
      <c r="G86" s="20">
        <v>3</v>
      </c>
      <c r="H86" s="20">
        <v>5</v>
      </c>
      <c r="I86" s="20"/>
      <c r="J86" s="24">
        <v>0.06</v>
      </c>
      <c r="K86" s="50">
        <v>0.02</v>
      </c>
      <c r="L86" s="21">
        <v>25</v>
      </c>
      <c r="M86" s="26">
        <v>1286.68</v>
      </c>
      <c r="N86" s="26"/>
      <c r="O86" s="24">
        <v>0.03</v>
      </c>
      <c r="P86" s="50">
        <v>0.01</v>
      </c>
      <c r="Q86" s="21">
        <v>45</v>
      </c>
      <c r="R86" s="21"/>
      <c r="S86" s="27">
        <f>(O86-J86)/SQRT((P86^2+K86^2)/2)</f>
        <v>-1.8973665961010278</v>
      </c>
      <c r="T86" s="20">
        <v>1</v>
      </c>
      <c r="U86" s="23">
        <f>(O86-J86)/SQRT((((Q86-1)*P86^2) + ((L86-1)*K86^2))/(Q86+L86-2))*T86</f>
        <v>-2.0907961573115084</v>
      </c>
      <c r="V86" s="23">
        <f>U86*(1-(3/(4*(L86+Q86-2) -1)))</f>
        <v>-2.0676508123966211</v>
      </c>
      <c r="W86" s="23">
        <f>((O86-J86)/P86)*T86 * (1-(3/(4*(L86+Q86-2)-1)))</f>
        <v>-2.9667896678966792</v>
      </c>
      <c r="X86" s="28"/>
      <c r="Y86" s="20">
        <v>2</v>
      </c>
      <c r="Z86" s="29" t="s">
        <v>31</v>
      </c>
      <c r="AA86" s="8" t="s">
        <v>32</v>
      </c>
      <c r="AB86" s="29" t="s">
        <v>31</v>
      </c>
    </row>
  </sheetData>
  <sortState xmlns:xlrd2="http://schemas.microsoft.com/office/spreadsheetml/2017/richdata2" ref="A45:BC81">
    <sortCondition ref="B45:B81"/>
  </sortState>
  <mergeCells count="3">
    <mergeCell ref="J3:L3"/>
    <mergeCell ref="O3:Q3"/>
    <mergeCell ref="S3:W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BF4B6-C735-F348-BF8C-5EDF20EA23D1}">
  <dimension ref="A1:BC77"/>
  <sheetViews>
    <sheetView topLeftCell="A5" zoomScale="68" zoomScaleNormal="68" workbookViewId="0">
      <selection activeCell="C47" sqref="A1:XFD1048576"/>
    </sheetView>
  </sheetViews>
  <sheetFormatPr defaultColWidth="27" defaultRowHeight="15" x14ac:dyDescent="0.25"/>
  <cols>
    <col min="1" max="1" width="13" style="8" customWidth="1"/>
    <col min="2" max="2" width="15.7109375" style="8" customWidth="1"/>
    <col min="3" max="3" width="23.42578125" style="21" customWidth="1"/>
    <col min="4" max="4" width="6.7109375" style="8" customWidth="1"/>
    <col min="5" max="5" width="39.85546875" style="53" customWidth="1"/>
    <col min="6" max="6" width="31" style="29" customWidth="1"/>
    <col min="7" max="7" width="8.42578125" style="8" customWidth="1"/>
    <col min="8" max="8" width="7.42578125" style="8" customWidth="1"/>
    <col min="9" max="9" width="3.7109375" style="8" customWidth="1"/>
    <col min="10" max="10" width="6.7109375" style="8" customWidth="1"/>
    <col min="11" max="11" width="8" style="62" customWidth="1"/>
    <col min="12" max="12" width="11.42578125" style="8" customWidth="1"/>
    <col min="13" max="13" width="9.42578125" style="29" customWidth="1"/>
    <col min="14" max="14" width="1.140625" style="29" customWidth="1"/>
    <col min="15" max="15" width="8.42578125" style="8" customWidth="1"/>
    <col min="16" max="16" width="7.42578125" style="62" customWidth="1"/>
    <col min="17" max="17" width="7.42578125" style="8" customWidth="1"/>
    <col min="18" max="18" width="5" style="8" customWidth="1"/>
    <col min="19" max="19" width="6.28515625" style="8" customWidth="1"/>
    <col min="20" max="20" width="5.7109375" style="8" customWidth="1"/>
    <col min="21" max="21" width="10.140625" style="19" customWidth="1"/>
    <col min="22" max="22" width="7.42578125" style="8" customWidth="1"/>
    <col min="23" max="23" width="11" style="8" customWidth="1"/>
    <col min="24" max="24" width="0.42578125" hidden="1" customWidth="1"/>
    <col min="25" max="25" width="5.42578125" style="29" customWidth="1"/>
    <col min="26" max="26" width="17.28515625" style="29" hidden="1" customWidth="1"/>
    <col min="27" max="27" width="13.42578125" style="8" customWidth="1"/>
    <col min="28" max="28" width="29.28515625" style="8" customWidth="1"/>
    <col min="29" max="16384" width="27" style="8"/>
  </cols>
  <sheetData>
    <row r="1" spans="1:55" ht="18.75" customHeight="1" x14ac:dyDescent="0.25">
      <c r="B1" s="133" t="s">
        <v>562</v>
      </c>
    </row>
    <row r="2" spans="1:55" ht="34.5" customHeight="1" x14ac:dyDescent="0.25">
      <c r="B2" s="292" t="s">
        <v>613</v>
      </c>
      <c r="C2" s="292"/>
      <c r="D2" s="292"/>
      <c r="G2" s="29"/>
    </row>
    <row r="3" spans="1:55" ht="18.75" customHeight="1" x14ac:dyDescent="0.2">
      <c r="B3" s="1"/>
      <c r="C3" s="1"/>
      <c r="D3" s="1"/>
      <c r="E3" s="2"/>
      <c r="F3" s="3"/>
      <c r="G3" s="1"/>
      <c r="H3" s="1"/>
      <c r="I3" s="1"/>
      <c r="J3" s="290" t="s">
        <v>0</v>
      </c>
      <c r="K3" s="290"/>
      <c r="L3" s="290"/>
      <c r="M3" s="3"/>
      <c r="N3" s="3"/>
      <c r="O3" s="291" t="s">
        <v>1</v>
      </c>
      <c r="P3" s="291"/>
      <c r="Q3" s="291"/>
      <c r="R3" s="218"/>
      <c r="S3" s="291" t="s">
        <v>2</v>
      </c>
      <c r="T3" s="291"/>
      <c r="U3" s="291"/>
      <c r="V3" s="291"/>
      <c r="W3" s="291"/>
      <c r="X3" s="5"/>
      <c r="Y3" s="3"/>
      <c r="Z3" s="6"/>
      <c r="AA3" s="7"/>
    </row>
    <row r="4" spans="1:55" s="19" customFormat="1" ht="27.75" customHeight="1" thickBot="1" x14ac:dyDescent="0.25">
      <c r="A4" s="19" t="s">
        <v>662</v>
      </c>
      <c r="B4" s="9" t="s">
        <v>3</v>
      </c>
      <c r="C4" s="9" t="s">
        <v>4</v>
      </c>
      <c r="D4" s="9" t="s">
        <v>5</v>
      </c>
      <c r="E4" s="10" t="s">
        <v>6</v>
      </c>
      <c r="F4" s="11" t="s">
        <v>7</v>
      </c>
      <c r="G4" s="12" t="s">
        <v>8</v>
      </c>
      <c r="H4" s="12" t="s">
        <v>9</v>
      </c>
      <c r="I4" s="13"/>
      <c r="J4" s="14" t="s">
        <v>10</v>
      </c>
      <c r="K4" s="15" t="s">
        <v>11</v>
      </c>
      <c r="L4" s="14" t="s">
        <v>12</v>
      </c>
      <c r="M4" s="14" t="s">
        <v>13</v>
      </c>
      <c r="N4" s="13"/>
      <c r="O4" s="14" t="s">
        <v>10</v>
      </c>
      <c r="P4" s="15" t="s">
        <v>11</v>
      </c>
      <c r="Q4" s="14" t="s">
        <v>12</v>
      </c>
      <c r="R4" s="13"/>
      <c r="S4" s="14" t="s">
        <v>14</v>
      </c>
      <c r="T4" s="13"/>
      <c r="U4" s="14" t="s">
        <v>15</v>
      </c>
      <c r="V4" s="14" t="s">
        <v>16</v>
      </c>
      <c r="W4" s="14" t="s">
        <v>17</v>
      </c>
      <c r="X4" s="16"/>
      <c r="Y4" s="12" t="s">
        <v>18</v>
      </c>
      <c r="Z4" s="17" t="s">
        <v>18</v>
      </c>
      <c r="AA4" s="17" t="s">
        <v>19</v>
      </c>
      <c r="AB4" s="18" t="s">
        <v>18</v>
      </c>
      <c r="AL4" s="19" t="s">
        <v>10</v>
      </c>
      <c r="AM4" s="19" t="s">
        <v>11</v>
      </c>
      <c r="AN4" s="19" t="s">
        <v>20</v>
      </c>
      <c r="AP4" s="19" t="s">
        <v>21</v>
      </c>
      <c r="AR4" s="19" t="s">
        <v>22</v>
      </c>
      <c r="AS4" s="19" t="s">
        <v>23</v>
      </c>
      <c r="AT4" s="19" t="s">
        <v>24</v>
      </c>
      <c r="AV4" s="19" t="s">
        <v>25</v>
      </c>
      <c r="BB4" s="19" t="s">
        <v>26</v>
      </c>
    </row>
    <row r="5" spans="1:55" ht="18.75" customHeight="1" x14ac:dyDescent="0.2">
      <c r="A5" s="8" t="s">
        <v>663</v>
      </c>
      <c r="B5" s="182" t="s">
        <v>27</v>
      </c>
      <c r="C5" s="21" t="s">
        <v>546</v>
      </c>
      <c r="D5" s="21">
        <v>2021</v>
      </c>
      <c r="E5" s="22" t="s">
        <v>29</v>
      </c>
      <c r="F5" s="23" t="s">
        <v>554</v>
      </c>
      <c r="G5" s="21">
        <v>1</v>
      </c>
      <c r="H5" s="20">
        <v>14</v>
      </c>
      <c r="I5" s="20"/>
      <c r="J5" s="109" t="s">
        <v>75</v>
      </c>
      <c r="K5" s="109" t="s">
        <v>75</v>
      </c>
      <c r="L5" s="21">
        <v>150</v>
      </c>
      <c r="M5" s="26">
        <v>908</v>
      </c>
      <c r="N5" s="26"/>
      <c r="O5" s="109" t="s">
        <v>75</v>
      </c>
      <c r="P5" s="109" t="s">
        <v>75</v>
      </c>
      <c r="Q5" s="21">
        <v>76</v>
      </c>
      <c r="R5" s="21"/>
      <c r="S5" s="158" t="s">
        <v>75</v>
      </c>
      <c r="T5" s="90"/>
      <c r="U5" s="261" t="s">
        <v>75</v>
      </c>
      <c r="V5" s="158" t="s">
        <v>75</v>
      </c>
      <c r="W5" s="174">
        <v>-0.44</v>
      </c>
      <c r="X5" s="28"/>
      <c r="Y5" s="20">
        <v>1</v>
      </c>
      <c r="AA5" s="42" t="s">
        <v>44</v>
      </c>
    </row>
    <row r="6" spans="1:55" ht="18.75" customHeight="1" x14ac:dyDescent="0.2">
      <c r="A6" s="8" t="s">
        <v>663</v>
      </c>
      <c r="B6" s="182" t="s">
        <v>27</v>
      </c>
      <c r="C6" s="21" t="s">
        <v>546</v>
      </c>
      <c r="D6" s="21">
        <v>2021</v>
      </c>
      <c r="E6" s="22" t="s">
        <v>49</v>
      </c>
      <c r="F6" s="23" t="s">
        <v>553</v>
      </c>
      <c r="G6" s="21">
        <v>1</v>
      </c>
      <c r="H6" s="20">
        <v>15</v>
      </c>
      <c r="I6" s="20"/>
      <c r="J6" s="109" t="s">
        <v>75</v>
      </c>
      <c r="K6" s="109" t="s">
        <v>75</v>
      </c>
      <c r="L6" s="21">
        <v>150</v>
      </c>
      <c r="M6" s="26">
        <v>908</v>
      </c>
      <c r="N6" s="26"/>
      <c r="O6" s="109" t="s">
        <v>75</v>
      </c>
      <c r="P6" s="109" t="s">
        <v>75</v>
      </c>
      <c r="Q6" s="21">
        <v>76</v>
      </c>
      <c r="R6" s="21"/>
      <c r="S6" s="198" t="s">
        <v>75</v>
      </c>
      <c r="T6" s="90"/>
      <c r="U6" s="262" t="s">
        <v>75</v>
      </c>
      <c r="V6" s="198" t="s">
        <v>75</v>
      </c>
      <c r="W6" s="174">
        <v>7.0000000000000007E-2</v>
      </c>
      <c r="X6" s="28"/>
      <c r="Y6" s="20">
        <v>1</v>
      </c>
      <c r="AA6" s="42" t="s">
        <v>44</v>
      </c>
    </row>
    <row r="7" spans="1:55" ht="18.75" customHeight="1" x14ac:dyDescent="0.2">
      <c r="A7" s="8" t="s">
        <v>663</v>
      </c>
      <c r="B7" s="182" t="s">
        <v>27</v>
      </c>
      <c r="C7" s="21" t="s">
        <v>546</v>
      </c>
      <c r="D7" s="21">
        <v>2021</v>
      </c>
      <c r="E7" s="28" t="s">
        <v>555</v>
      </c>
      <c r="F7" s="132" t="s">
        <v>555</v>
      </c>
      <c r="G7" s="21">
        <v>1</v>
      </c>
      <c r="H7" s="20">
        <v>16</v>
      </c>
      <c r="I7" s="20"/>
      <c r="J7" s="109" t="s">
        <v>75</v>
      </c>
      <c r="K7" s="109" t="s">
        <v>75</v>
      </c>
      <c r="L7" s="21">
        <v>152</v>
      </c>
      <c r="M7" s="26">
        <v>908</v>
      </c>
      <c r="N7" s="26"/>
      <c r="O7" s="109" t="s">
        <v>75</v>
      </c>
      <c r="P7" s="109" t="s">
        <v>75</v>
      </c>
      <c r="Q7" s="21">
        <v>76</v>
      </c>
      <c r="R7" s="21"/>
      <c r="S7" s="198" t="s">
        <v>75</v>
      </c>
      <c r="T7" s="90"/>
      <c r="U7" s="262" t="s">
        <v>75</v>
      </c>
      <c r="V7" s="198" t="s">
        <v>75</v>
      </c>
      <c r="W7" s="174">
        <v>-0.26</v>
      </c>
      <c r="X7" s="28"/>
      <c r="Y7" s="20">
        <v>1</v>
      </c>
      <c r="AA7" s="42" t="s">
        <v>44</v>
      </c>
    </row>
    <row r="8" spans="1:55" ht="18.75" customHeight="1" x14ac:dyDescent="0.2">
      <c r="A8" s="8" t="s">
        <v>663</v>
      </c>
      <c r="B8" s="182" t="s">
        <v>27</v>
      </c>
      <c r="C8" s="21" t="s">
        <v>546</v>
      </c>
      <c r="D8" s="21">
        <v>2022</v>
      </c>
      <c r="E8" s="28" t="s">
        <v>556</v>
      </c>
      <c r="F8" s="132" t="s">
        <v>557</v>
      </c>
      <c r="G8" s="21">
        <v>1</v>
      </c>
      <c r="H8" s="20">
        <v>17</v>
      </c>
      <c r="I8" s="20"/>
      <c r="J8" s="109" t="s">
        <v>75</v>
      </c>
      <c r="K8" s="109" t="s">
        <v>75</v>
      </c>
      <c r="L8" s="21">
        <v>152</v>
      </c>
      <c r="M8" s="26">
        <v>908</v>
      </c>
      <c r="N8" s="26"/>
      <c r="O8" s="109" t="s">
        <v>75</v>
      </c>
      <c r="P8" s="109" t="s">
        <v>75</v>
      </c>
      <c r="Q8" s="21">
        <v>77</v>
      </c>
      <c r="R8" s="21"/>
      <c r="S8" s="198"/>
      <c r="T8" s="90"/>
      <c r="U8" s="262"/>
      <c r="V8" s="198"/>
      <c r="W8" s="174">
        <v>-0.61</v>
      </c>
      <c r="X8" s="28"/>
      <c r="Y8" s="20">
        <v>1</v>
      </c>
      <c r="AA8" s="42" t="s">
        <v>44</v>
      </c>
    </row>
    <row r="9" spans="1:55" ht="18.75" customHeight="1" x14ac:dyDescent="0.2">
      <c r="A9" s="8" t="s">
        <v>663</v>
      </c>
      <c r="B9" s="182" t="s">
        <v>86</v>
      </c>
      <c r="C9" s="20" t="s">
        <v>28</v>
      </c>
      <c r="D9" s="21">
        <v>2004</v>
      </c>
      <c r="E9" s="22" t="s">
        <v>93</v>
      </c>
      <c r="F9" s="23" t="s">
        <v>94</v>
      </c>
      <c r="G9" s="20">
        <v>2</v>
      </c>
      <c r="H9" s="20">
        <v>8</v>
      </c>
      <c r="I9" s="20"/>
      <c r="J9" s="34">
        <v>6.95</v>
      </c>
      <c r="K9" s="45">
        <v>1.67</v>
      </c>
      <c r="L9" s="20">
        <v>20</v>
      </c>
      <c r="M9" s="26">
        <v>858.5</v>
      </c>
      <c r="N9" s="26"/>
      <c r="O9" s="34">
        <v>7.15</v>
      </c>
      <c r="P9" s="45">
        <v>1.1399999999999999</v>
      </c>
      <c r="Q9" s="20">
        <v>20</v>
      </c>
      <c r="R9" s="20"/>
      <c r="S9" s="157">
        <f t="shared" ref="S9:S54" si="0">(O9-J9)/SQRT((P9^2+K9^2)/2)</f>
        <v>0.13988237340926069</v>
      </c>
      <c r="T9" s="90">
        <v>-1</v>
      </c>
      <c r="U9" s="161">
        <f t="shared" ref="U9:U54" si="1">(O9-J9)/SQRT((((Q9-1)*P9^2) + ((L9-1)*K9^2))/(Q9+L9-2))*T9</f>
        <v>-0.13988237340926069</v>
      </c>
      <c r="V9" s="174">
        <f t="shared" ref="V9:V54" si="2">U9*(1-(3/(4*(L9+Q9-2) -1)))</f>
        <v>-0.1371032534077522</v>
      </c>
      <c r="W9" s="174">
        <f t="shared" ref="W9:W54" si="3">((O9-J9)/P9)*T9 * (1-(3/(4*(L9+Q9-2)-1)))</f>
        <v>-0.17195306146160119</v>
      </c>
      <c r="X9" s="28"/>
      <c r="Y9" s="20">
        <v>2</v>
      </c>
      <c r="Z9" s="29" t="s">
        <v>31</v>
      </c>
      <c r="AA9" s="8" t="s">
        <v>32</v>
      </c>
      <c r="AB9" s="29" t="s">
        <v>31</v>
      </c>
      <c r="AR9" s="8" t="s">
        <v>95</v>
      </c>
      <c r="AS9" s="8" t="s">
        <v>95</v>
      </c>
      <c r="AT9" s="8" t="s">
        <v>96</v>
      </c>
    </row>
    <row r="10" spans="1:55" ht="18.75" customHeight="1" x14ac:dyDescent="0.2">
      <c r="A10" s="8" t="s">
        <v>663</v>
      </c>
      <c r="B10" s="182" t="s">
        <v>86</v>
      </c>
      <c r="C10" s="20" t="s">
        <v>28</v>
      </c>
      <c r="D10" s="21">
        <v>2004</v>
      </c>
      <c r="E10" s="22" t="s">
        <v>97</v>
      </c>
      <c r="F10" s="23" t="s">
        <v>98</v>
      </c>
      <c r="G10" s="20">
        <v>2</v>
      </c>
      <c r="H10" s="20">
        <v>9</v>
      </c>
      <c r="I10" s="20"/>
      <c r="J10" s="34">
        <v>0.54</v>
      </c>
      <c r="K10" s="45">
        <v>0.11</v>
      </c>
      <c r="L10" s="20">
        <v>20</v>
      </c>
      <c r="M10" s="26">
        <v>858.5</v>
      </c>
      <c r="N10" s="26"/>
      <c r="O10" s="34">
        <v>0.56999999999999995</v>
      </c>
      <c r="P10" s="45">
        <v>7.0000000000000007E-2</v>
      </c>
      <c r="Q10" s="20">
        <v>20</v>
      </c>
      <c r="R10" s="20"/>
      <c r="S10" s="157">
        <f t="shared" si="0"/>
        <v>0.32539568672798336</v>
      </c>
      <c r="T10" s="90">
        <v>-1</v>
      </c>
      <c r="U10" s="161">
        <f t="shared" si="1"/>
        <v>-0.32539568672798336</v>
      </c>
      <c r="V10" s="174">
        <f t="shared" si="2"/>
        <v>-0.31893087175987772</v>
      </c>
      <c r="W10" s="174">
        <f t="shared" si="3"/>
        <v>-0.42005676442762413</v>
      </c>
      <c r="X10" s="28"/>
      <c r="Y10" s="20">
        <v>2</v>
      </c>
      <c r="Z10" s="29" t="s">
        <v>31</v>
      </c>
      <c r="AA10" s="8" t="s">
        <v>32</v>
      </c>
      <c r="AB10" s="29" t="s">
        <v>31</v>
      </c>
    </row>
    <row r="11" spans="1:55" ht="18.75" customHeight="1" x14ac:dyDescent="0.2">
      <c r="A11" s="8" t="s">
        <v>663</v>
      </c>
      <c r="B11" s="182" t="s">
        <v>27</v>
      </c>
      <c r="C11" s="20" t="s">
        <v>28</v>
      </c>
      <c r="D11" s="21">
        <v>2004</v>
      </c>
      <c r="E11" s="22" t="s">
        <v>29</v>
      </c>
      <c r="F11" s="23" t="s">
        <v>30</v>
      </c>
      <c r="G11" s="20">
        <v>2</v>
      </c>
      <c r="H11" s="20">
        <v>18</v>
      </c>
      <c r="I11" s="20"/>
      <c r="J11" s="24">
        <v>8.01</v>
      </c>
      <c r="K11" s="25">
        <v>1.64</v>
      </c>
      <c r="L11" s="21">
        <v>20</v>
      </c>
      <c r="M11" s="26">
        <v>858.5</v>
      </c>
      <c r="N11" s="26"/>
      <c r="O11" s="24">
        <v>9.76</v>
      </c>
      <c r="P11" s="25">
        <v>2.5299999999999998</v>
      </c>
      <c r="Q11" s="21">
        <v>20</v>
      </c>
      <c r="R11" s="20"/>
      <c r="S11" s="157">
        <f t="shared" si="0"/>
        <v>0.82084122710449015</v>
      </c>
      <c r="T11" s="90">
        <v>-1</v>
      </c>
      <c r="U11" s="161">
        <f t="shared" si="1"/>
        <v>-0.82084122710449015</v>
      </c>
      <c r="V11" s="174">
        <f t="shared" si="2"/>
        <v>-0.80453312325473203</v>
      </c>
      <c r="W11" s="174">
        <f t="shared" si="3"/>
        <v>-0.67795722848990914</v>
      </c>
      <c r="X11" s="28"/>
      <c r="Y11" s="20">
        <v>2</v>
      </c>
      <c r="Z11" s="29" t="s">
        <v>31</v>
      </c>
      <c r="AA11" s="8" t="s">
        <v>32</v>
      </c>
      <c r="AB11" s="29" t="s">
        <v>31</v>
      </c>
      <c r="AL11" s="8">
        <v>-9.8000000000000007</v>
      </c>
      <c r="AM11" s="8">
        <v>2.5</v>
      </c>
      <c r="AN11" s="8">
        <v>20</v>
      </c>
      <c r="BB11" s="8" t="s">
        <v>28</v>
      </c>
      <c r="BC11" s="8">
        <v>1</v>
      </c>
    </row>
    <row r="12" spans="1:55" ht="18.75" customHeight="1" x14ac:dyDescent="0.2">
      <c r="A12" s="8" t="s">
        <v>663</v>
      </c>
      <c r="B12" s="263" t="s">
        <v>101</v>
      </c>
      <c r="C12" s="20" t="s">
        <v>28</v>
      </c>
      <c r="D12" s="21">
        <v>2004</v>
      </c>
      <c r="E12" s="22" t="s">
        <v>125</v>
      </c>
      <c r="F12" s="20" t="s">
        <v>126</v>
      </c>
      <c r="G12" s="20">
        <v>2</v>
      </c>
      <c r="H12" s="20">
        <v>42</v>
      </c>
      <c r="I12" s="20"/>
      <c r="J12" s="24">
        <v>0.56999999999999995</v>
      </c>
      <c r="K12" s="25">
        <v>0.32</v>
      </c>
      <c r="L12" s="21">
        <v>20</v>
      </c>
      <c r="M12" s="26">
        <v>858.5</v>
      </c>
      <c r="N12" s="26"/>
      <c r="O12" s="24">
        <v>0.75</v>
      </c>
      <c r="P12" s="25">
        <v>0.53</v>
      </c>
      <c r="Q12" s="21">
        <v>20</v>
      </c>
      <c r="R12" s="21"/>
      <c r="S12" s="157">
        <f t="shared" si="0"/>
        <v>0.4111668505267474</v>
      </c>
      <c r="T12" s="90">
        <v>-1</v>
      </c>
      <c r="U12" s="161">
        <f t="shared" si="1"/>
        <v>-0.4111668505267474</v>
      </c>
      <c r="V12" s="174">
        <f t="shared" si="2"/>
        <v>-0.40299797270171267</v>
      </c>
      <c r="W12" s="174">
        <f t="shared" si="3"/>
        <v>-0.33287517181057114</v>
      </c>
      <c r="X12" s="28"/>
      <c r="Y12" s="20">
        <v>2</v>
      </c>
      <c r="Z12" s="29" t="s">
        <v>31</v>
      </c>
      <c r="AA12" s="8" t="s">
        <v>32</v>
      </c>
      <c r="AB12" s="29" t="s">
        <v>31</v>
      </c>
    </row>
    <row r="13" spans="1:55" ht="18.75" customHeight="1" x14ac:dyDescent="0.2">
      <c r="A13" s="8" t="s">
        <v>663</v>
      </c>
      <c r="B13" s="182" t="s">
        <v>27</v>
      </c>
      <c r="C13" s="20" t="s">
        <v>33</v>
      </c>
      <c r="D13" s="21">
        <v>2005</v>
      </c>
      <c r="E13" s="22" t="s">
        <v>34</v>
      </c>
      <c r="F13" s="23" t="s">
        <v>35</v>
      </c>
      <c r="G13" s="20">
        <v>3</v>
      </c>
      <c r="H13" s="20">
        <v>19</v>
      </c>
      <c r="I13" s="20"/>
      <c r="J13" s="24">
        <v>66.48</v>
      </c>
      <c r="K13" s="25">
        <v>15.75</v>
      </c>
      <c r="L13" s="21">
        <v>25</v>
      </c>
      <c r="M13" s="26">
        <v>758.79</v>
      </c>
      <c r="N13" s="26"/>
      <c r="O13" s="24">
        <v>67.599999999999994</v>
      </c>
      <c r="P13" s="25">
        <v>16.690000000000001</v>
      </c>
      <c r="Q13" s="21">
        <v>25</v>
      </c>
      <c r="R13" s="20"/>
      <c r="S13" s="157">
        <f t="shared" si="0"/>
        <v>6.9021584249196799E-2</v>
      </c>
      <c r="T13" s="90">
        <v>-1</v>
      </c>
      <c r="U13" s="161">
        <f t="shared" si="1"/>
        <v>-6.9021584249196799E-2</v>
      </c>
      <c r="V13" s="174">
        <f t="shared" si="2"/>
        <v>-6.7937475596068053E-2</v>
      </c>
      <c r="W13" s="174">
        <f t="shared" si="3"/>
        <v>-6.6052029776113907E-2</v>
      </c>
      <c r="X13" s="28"/>
      <c r="Y13" s="20">
        <v>2</v>
      </c>
      <c r="Z13" s="29" t="s">
        <v>31</v>
      </c>
      <c r="AA13" s="8" t="s">
        <v>32</v>
      </c>
      <c r="AB13" s="29" t="s">
        <v>31</v>
      </c>
      <c r="AL13" s="8">
        <v>-67.599999999999994</v>
      </c>
      <c r="AM13" s="8">
        <v>16.7</v>
      </c>
      <c r="AN13" s="8">
        <v>25</v>
      </c>
      <c r="BB13" s="8" t="s">
        <v>33</v>
      </c>
      <c r="BC13" s="8">
        <v>2</v>
      </c>
    </row>
    <row r="14" spans="1:55" ht="18.75" customHeight="1" x14ac:dyDescent="0.2">
      <c r="A14" s="8" t="s">
        <v>663</v>
      </c>
      <c r="B14" s="182" t="s">
        <v>101</v>
      </c>
      <c r="C14" s="20" t="s">
        <v>115</v>
      </c>
      <c r="D14" s="21">
        <v>2005</v>
      </c>
      <c r="E14" s="22" t="s">
        <v>116</v>
      </c>
      <c r="F14" s="20" t="s">
        <v>117</v>
      </c>
      <c r="G14" s="20">
        <v>3</v>
      </c>
      <c r="H14" s="20">
        <v>43</v>
      </c>
      <c r="I14" s="20"/>
      <c r="J14" s="24">
        <v>1.7</v>
      </c>
      <c r="K14" s="49">
        <f>SQRT((1.03/SQRT(25))^2 + (3.41/SQRT(25))^2)</f>
        <v>0.71243245293852253</v>
      </c>
      <c r="L14" s="21">
        <v>25</v>
      </c>
      <c r="M14" s="26">
        <v>758.79</v>
      </c>
      <c r="N14" s="26"/>
      <c r="O14" s="24">
        <v>1.9</v>
      </c>
      <c r="P14" s="49">
        <f>SQRT((1.91/SQRT(25))^2 + (2.861/SQRT(25))^2)</f>
        <v>0.68799479649195028</v>
      </c>
      <c r="Q14" s="21">
        <v>25</v>
      </c>
      <c r="R14" s="21"/>
      <c r="S14" s="157">
        <f t="shared" si="0"/>
        <v>0.28558364068272346</v>
      </c>
      <c r="T14" s="90">
        <v>1</v>
      </c>
      <c r="U14" s="161">
        <f t="shared" si="1"/>
        <v>0.28558364068272346</v>
      </c>
      <c r="V14" s="174">
        <f t="shared" si="2"/>
        <v>0.28109803376100528</v>
      </c>
      <c r="W14" s="174">
        <f t="shared" si="3"/>
        <v>0.28613390645863518</v>
      </c>
      <c r="X14" s="28"/>
      <c r="Y14" s="20">
        <v>2</v>
      </c>
      <c r="Z14" s="29" t="s">
        <v>31</v>
      </c>
      <c r="AA14" s="8" t="s">
        <v>32</v>
      </c>
      <c r="AB14" s="29" t="s">
        <v>31</v>
      </c>
    </row>
    <row r="15" spans="1:55" ht="18.75" customHeight="1" x14ac:dyDescent="0.2">
      <c r="A15" s="8" t="s">
        <v>663</v>
      </c>
      <c r="B15" s="182" t="s">
        <v>27</v>
      </c>
      <c r="C15" s="20" t="s">
        <v>38</v>
      </c>
      <c r="D15" s="21">
        <v>2007</v>
      </c>
      <c r="E15" s="22" t="s">
        <v>34</v>
      </c>
      <c r="F15" s="23" t="s">
        <v>39</v>
      </c>
      <c r="G15" s="20">
        <v>4</v>
      </c>
      <c r="H15" s="20">
        <v>20</v>
      </c>
      <c r="I15" s="20"/>
      <c r="J15" s="24">
        <v>60.24</v>
      </c>
      <c r="K15" s="25">
        <v>17.75</v>
      </c>
      <c r="L15" s="21">
        <v>25</v>
      </c>
      <c r="M15" s="26">
        <v>1285.68</v>
      </c>
      <c r="N15" s="26"/>
      <c r="O15" s="24">
        <v>66.040000000000006</v>
      </c>
      <c r="P15" s="25">
        <v>16.399999999999999</v>
      </c>
      <c r="Q15" s="21">
        <v>45</v>
      </c>
      <c r="R15" s="20"/>
      <c r="S15" s="157">
        <f t="shared" si="0"/>
        <v>0.33941278858608348</v>
      </c>
      <c r="T15" s="90">
        <v>-1</v>
      </c>
      <c r="U15" s="161">
        <f t="shared" si="1"/>
        <v>-0.3434229172217676</v>
      </c>
      <c r="V15" s="174">
        <f t="shared" si="2"/>
        <v>-0.33962118751082554</v>
      </c>
      <c r="W15" s="174">
        <f t="shared" si="3"/>
        <v>-0.34974349743497468</v>
      </c>
      <c r="X15" s="28"/>
      <c r="Y15" s="20">
        <v>2</v>
      </c>
      <c r="Z15" s="29" t="s">
        <v>31</v>
      </c>
      <c r="AA15" s="8" t="s">
        <v>32</v>
      </c>
      <c r="AB15" s="29" t="s">
        <v>31</v>
      </c>
      <c r="AL15" s="8">
        <v>-66</v>
      </c>
      <c r="AM15" s="8">
        <v>16.399999999999999</v>
      </c>
      <c r="AN15" s="8">
        <v>45</v>
      </c>
      <c r="BB15" s="8" t="s">
        <v>38</v>
      </c>
      <c r="BC15" s="8">
        <v>4</v>
      </c>
    </row>
    <row r="16" spans="1:55" ht="18.75" customHeight="1" x14ac:dyDescent="0.2">
      <c r="A16" s="8" t="s">
        <v>663</v>
      </c>
      <c r="B16" s="182" t="s">
        <v>101</v>
      </c>
      <c r="C16" s="20" t="s">
        <v>120</v>
      </c>
      <c r="D16" s="21">
        <v>2007</v>
      </c>
      <c r="E16" s="22" t="s">
        <v>121</v>
      </c>
      <c r="F16" s="20" t="s">
        <v>122</v>
      </c>
      <c r="G16" s="20">
        <v>4</v>
      </c>
      <c r="H16" s="20">
        <v>44</v>
      </c>
      <c r="I16" s="20"/>
      <c r="J16" s="24">
        <v>0.95</v>
      </c>
      <c r="K16" s="25">
        <v>0.55000000000000004</v>
      </c>
      <c r="L16" s="21">
        <v>25</v>
      </c>
      <c r="M16" s="26">
        <v>1285.68</v>
      </c>
      <c r="N16" s="26"/>
      <c r="O16" s="24">
        <v>2.06</v>
      </c>
      <c r="P16" s="25">
        <v>0.48</v>
      </c>
      <c r="Q16" s="21">
        <v>45</v>
      </c>
      <c r="R16" s="21"/>
      <c r="S16" s="157">
        <f t="shared" si="0"/>
        <v>2.1503795263481309</v>
      </c>
      <c r="T16" s="90">
        <v>1</v>
      </c>
      <c r="U16" s="161">
        <f t="shared" si="1"/>
        <v>2.194485746614788</v>
      </c>
      <c r="V16" s="174">
        <f t="shared" si="2"/>
        <v>2.1701925464677609</v>
      </c>
      <c r="W16" s="174">
        <f t="shared" si="3"/>
        <v>2.2869003690036904</v>
      </c>
      <c r="X16" s="28"/>
      <c r="Y16" s="20">
        <v>2</v>
      </c>
      <c r="Z16" s="29" t="s">
        <v>31</v>
      </c>
      <c r="AA16" s="8" t="s">
        <v>32</v>
      </c>
      <c r="AB16" s="29" t="s">
        <v>31</v>
      </c>
    </row>
    <row r="17" spans="1:55" ht="18.75" customHeight="1" x14ac:dyDescent="0.2">
      <c r="A17" s="8" t="s">
        <v>663</v>
      </c>
      <c r="B17" s="182" t="s">
        <v>146</v>
      </c>
      <c r="C17" s="20" t="s">
        <v>159</v>
      </c>
      <c r="D17" s="21">
        <v>2017</v>
      </c>
      <c r="E17" s="22" t="s">
        <v>160</v>
      </c>
      <c r="F17" s="20" t="s">
        <v>161</v>
      </c>
      <c r="G17" s="20">
        <v>5</v>
      </c>
      <c r="H17" s="20">
        <v>1</v>
      </c>
      <c r="I17" s="20"/>
      <c r="J17" s="51">
        <v>24.6</v>
      </c>
      <c r="K17" s="25">
        <v>14.7</v>
      </c>
      <c r="L17" s="21">
        <v>57</v>
      </c>
      <c r="M17" s="26">
        <v>655</v>
      </c>
      <c r="N17" s="26"/>
      <c r="O17" s="24">
        <v>17.3</v>
      </c>
      <c r="P17" s="25">
        <v>10.3</v>
      </c>
      <c r="Q17" s="21">
        <v>57</v>
      </c>
      <c r="R17" s="21"/>
      <c r="S17" s="27">
        <f t="shared" si="0"/>
        <v>-0.57515986004748754</v>
      </c>
      <c r="T17" s="20">
        <v>1</v>
      </c>
      <c r="U17" s="180">
        <f t="shared" si="1"/>
        <v>-0.57515986004748754</v>
      </c>
      <c r="V17" s="23">
        <f t="shared" si="2"/>
        <v>-0.57129972675857821</v>
      </c>
      <c r="W17" s="23">
        <f t="shared" si="3"/>
        <v>-0.70398123411741709</v>
      </c>
      <c r="X17" s="28"/>
      <c r="Y17" s="20">
        <v>1</v>
      </c>
      <c r="Z17" s="29" t="s">
        <v>63</v>
      </c>
      <c r="AA17" s="42" t="s">
        <v>44</v>
      </c>
      <c r="AB17" s="29" t="s">
        <v>48</v>
      </c>
    </row>
    <row r="18" spans="1:55" ht="18.75" customHeight="1" x14ac:dyDescent="0.2">
      <c r="A18" s="8" t="s">
        <v>663</v>
      </c>
      <c r="B18" s="182" t="s">
        <v>146</v>
      </c>
      <c r="C18" s="20" t="s">
        <v>159</v>
      </c>
      <c r="D18" s="21">
        <v>2017</v>
      </c>
      <c r="E18" s="22" t="s">
        <v>162</v>
      </c>
      <c r="F18" s="20" t="s">
        <v>163</v>
      </c>
      <c r="G18" s="20">
        <v>5</v>
      </c>
      <c r="H18" s="20">
        <v>2</v>
      </c>
      <c r="I18" s="20"/>
      <c r="J18" s="24">
        <v>9.3000000000000007</v>
      </c>
      <c r="K18" s="25">
        <v>1.8</v>
      </c>
      <c r="L18" s="21">
        <v>57</v>
      </c>
      <c r="M18" s="26">
        <v>655</v>
      </c>
      <c r="N18" s="26"/>
      <c r="O18" s="24">
        <v>8.6999999999999993</v>
      </c>
      <c r="P18" s="25">
        <v>1.5</v>
      </c>
      <c r="Q18" s="21">
        <v>57</v>
      </c>
      <c r="R18" s="21"/>
      <c r="S18" s="27">
        <f t="shared" si="0"/>
        <v>-0.36214298417007496</v>
      </c>
      <c r="T18" s="20">
        <v>1</v>
      </c>
      <c r="U18" s="180">
        <f t="shared" si="1"/>
        <v>-0.36214298417007496</v>
      </c>
      <c r="V18" s="23">
        <f t="shared" si="2"/>
        <v>-0.35971249434343017</v>
      </c>
      <c r="W18" s="23">
        <f t="shared" si="3"/>
        <v>-0.3973154362416117</v>
      </c>
      <c r="X18" s="28"/>
      <c r="Y18" s="20">
        <v>1</v>
      </c>
      <c r="Z18" s="29" t="s">
        <v>63</v>
      </c>
      <c r="AA18" s="42" t="s">
        <v>44</v>
      </c>
      <c r="AB18" s="29" t="s">
        <v>48</v>
      </c>
    </row>
    <row r="19" spans="1:55" ht="18.75" customHeight="1" x14ac:dyDescent="0.2">
      <c r="A19" s="8" t="s">
        <v>663</v>
      </c>
      <c r="B19" s="182" t="s">
        <v>27</v>
      </c>
      <c r="C19" s="20" t="s">
        <v>41</v>
      </c>
      <c r="D19" s="21">
        <v>2007</v>
      </c>
      <c r="E19" s="22" t="s">
        <v>42</v>
      </c>
      <c r="F19" s="23" t="s">
        <v>43</v>
      </c>
      <c r="G19" s="20">
        <v>6</v>
      </c>
      <c r="H19" s="20">
        <v>21</v>
      </c>
      <c r="I19" s="20"/>
      <c r="J19" s="24">
        <v>39</v>
      </c>
      <c r="K19" s="25">
        <v>13.9</v>
      </c>
      <c r="L19" s="21">
        <v>12</v>
      </c>
      <c r="M19" s="30" t="s">
        <v>44</v>
      </c>
      <c r="N19" s="30"/>
      <c r="O19" s="24">
        <v>41</v>
      </c>
      <c r="P19" s="25">
        <v>11.1</v>
      </c>
      <c r="Q19" s="21">
        <v>12</v>
      </c>
      <c r="R19" s="20"/>
      <c r="S19" s="157">
        <f t="shared" si="0"/>
        <v>0.15900582349616935</v>
      </c>
      <c r="T19" s="90">
        <v>-1</v>
      </c>
      <c r="U19" s="161">
        <f t="shared" si="1"/>
        <v>-0.15900582349616935</v>
      </c>
      <c r="V19" s="174">
        <f t="shared" si="2"/>
        <v>-0.15352286406526697</v>
      </c>
      <c r="W19" s="174">
        <f t="shared" si="3"/>
        <v>-0.17396707051879468</v>
      </c>
      <c r="X19" s="28"/>
      <c r="Y19" s="31" t="s">
        <v>45</v>
      </c>
      <c r="Z19" s="32" t="s">
        <v>46</v>
      </c>
      <c r="AA19" s="32" t="s">
        <v>47</v>
      </c>
      <c r="AB19" s="32" t="s">
        <v>48</v>
      </c>
      <c r="AL19" s="8">
        <v>-41</v>
      </c>
      <c r="AM19" s="8">
        <v>11.1</v>
      </c>
      <c r="AN19" s="8">
        <v>12</v>
      </c>
      <c r="BB19" s="8" t="s">
        <v>41</v>
      </c>
      <c r="BC19" s="8">
        <v>6</v>
      </c>
    </row>
    <row r="20" spans="1:55" ht="18.75" customHeight="1" x14ac:dyDescent="0.2">
      <c r="A20" s="8" t="s">
        <v>663</v>
      </c>
      <c r="B20" s="182" t="s">
        <v>27</v>
      </c>
      <c r="C20" s="20" t="s">
        <v>41</v>
      </c>
      <c r="D20" s="21">
        <v>2007</v>
      </c>
      <c r="E20" s="22" t="s">
        <v>49</v>
      </c>
      <c r="F20" s="23" t="s">
        <v>50</v>
      </c>
      <c r="G20" s="20">
        <v>6</v>
      </c>
      <c r="H20" s="20">
        <v>22</v>
      </c>
      <c r="I20" s="20"/>
      <c r="J20" s="24">
        <v>21</v>
      </c>
      <c r="K20" s="25">
        <v>11.1</v>
      </c>
      <c r="L20" s="21">
        <v>12</v>
      </c>
      <c r="M20" s="30" t="s">
        <v>44</v>
      </c>
      <c r="N20" s="30"/>
      <c r="O20" s="24">
        <v>23</v>
      </c>
      <c r="P20" s="25">
        <v>3.8</v>
      </c>
      <c r="Q20" s="21">
        <v>12</v>
      </c>
      <c r="R20" s="20"/>
      <c r="S20" s="157">
        <f t="shared" si="0"/>
        <v>0.24107761462474395</v>
      </c>
      <c r="T20" s="90">
        <v>-1</v>
      </c>
      <c r="U20" s="161">
        <f t="shared" si="1"/>
        <v>-0.24107761462474395</v>
      </c>
      <c r="V20" s="174">
        <f t="shared" si="2"/>
        <v>-0.23276459343078726</v>
      </c>
      <c r="W20" s="174">
        <f t="shared" si="3"/>
        <v>-0.50816696914700543</v>
      </c>
      <c r="X20" s="28"/>
      <c r="Y20" s="31" t="s">
        <v>45</v>
      </c>
      <c r="Z20" s="32" t="s">
        <v>46</v>
      </c>
      <c r="AA20" s="32" t="s">
        <v>47</v>
      </c>
      <c r="AB20" s="32" t="s">
        <v>48</v>
      </c>
      <c r="AL20" s="8">
        <v>-23</v>
      </c>
      <c r="AM20" s="8">
        <v>3.8</v>
      </c>
      <c r="AN20" s="8">
        <v>12</v>
      </c>
      <c r="BB20" s="8" t="s">
        <v>41</v>
      </c>
      <c r="BC20" s="8">
        <v>7</v>
      </c>
    </row>
    <row r="21" spans="1:55" ht="18.75" customHeight="1" x14ac:dyDescent="0.2">
      <c r="A21" s="8" t="s">
        <v>663</v>
      </c>
      <c r="B21" s="182" t="s">
        <v>101</v>
      </c>
      <c r="C21" s="21" t="s">
        <v>41</v>
      </c>
      <c r="D21" s="21">
        <v>2006</v>
      </c>
      <c r="E21" s="22" t="s">
        <v>144</v>
      </c>
      <c r="F21" s="20" t="s">
        <v>145</v>
      </c>
      <c r="G21" s="21">
        <v>6</v>
      </c>
      <c r="H21" s="20">
        <v>46</v>
      </c>
      <c r="I21" s="20"/>
      <c r="J21" s="24">
        <v>33.299999999999997</v>
      </c>
      <c r="K21" s="25">
        <f>(44-22)/1.35</f>
        <v>16.296296296296294</v>
      </c>
      <c r="L21" s="21">
        <v>9</v>
      </c>
      <c r="M21" s="35" t="s">
        <v>44</v>
      </c>
      <c r="N21" s="35"/>
      <c r="O21" s="24">
        <v>19.2</v>
      </c>
      <c r="P21" s="25">
        <f>(30-16)/1.35</f>
        <v>10.37037037037037</v>
      </c>
      <c r="Q21" s="21">
        <v>9</v>
      </c>
      <c r="R21" s="21"/>
      <c r="S21" s="27">
        <f t="shared" si="0"/>
        <v>-1.0323178161445299</v>
      </c>
      <c r="T21" s="20">
        <v>1</v>
      </c>
      <c r="U21" s="180">
        <f t="shared" si="1"/>
        <v>-1.0323178161445299</v>
      </c>
      <c r="V21" s="23">
        <f t="shared" si="2"/>
        <v>-0.98315982489955223</v>
      </c>
      <c r="W21" s="23">
        <f t="shared" si="3"/>
        <v>-1.2948979591836731</v>
      </c>
      <c r="X21" s="21"/>
      <c r="Y21" s="21">
        <v>1</v>
      </c>
      <c r="Z21" s="8"/>
      <c r="AA21" s="8" t="s">
        <v>32</v>
      </c>
      <c r="AB21" s="29" t="s">
        <v>48</v>
      </c>
    </row>
    <row r="22" spans="1:55" ht="18.75" customHeight="1" x14ac:dyDescent="0.2">
      <c r="A22" s="8" t="s">
        <v>663</v>
      </c>
      <c r="B22" s="182" t="s">
        <v>86</v>
      </c>
      <c r="C22" s="20" t="s">
        <v>53</v>
      </c>
      <c r="D22" s="21">
        <v>2015</v>
      </c>
      <c r="E22" s="22" t="s">
        <v>87</v>
      </c>
      <c r="F22" s="23" t="s">
        <v>88</v>
      </c>
      <c r="G22" s="20">
        <v>7</v>
      </c>
      <c r="H22" s="20">
        <v>10</v>
      </c>
      <c r="I22" s="20"/>
      <c r="J22" s="34">
        <v>98.14</v>
      </c>
      <c r="K22" s="45">
        <v>13.04</v>
      </c>
      <c r="L22" s="20">
        <v>14</v>
      </c>
      <c r="M22" s="26" t="s">
        <v>44</v>
      </c>
      <c r="N22" s="26"/>
      <c r="O22" s="34">
        <v>100.86</v>
      </c>
      <c r="P22" s="45">
        <v>8.8000000000000007</v>
      </c>
      <c r="Q22" s="20">
        <v>14</v>
      </c>
      <c r="R22" s="20"/>
      <c r="S22" s="157">
        <f t="shared" si="0"/>
        <v>0.24451890614322794</v>
      </c>
      <c r="T22" s="90">
        <v>-1</v>
      </c>
      <c r="U22" s="161">
        <f t="shared" si="1"/>
        <v>-0.24451890614322794</v>
      </c>
      <c r="V22" s="174">
        <f t="shared" si="2"/>
        <v>-0.2373969962555611</v>
      </c>
      <c r="W22" s="174">
        <f t="shared" si="3"/>
        <v>-0.30008826125330962</v>
      </c>
      <c r="X22" s="28"/>
      <c r="Y22" s="31">
        <v>3</v>
      </c>
      <c r="Z22" s="32" t="s">
        <v>57</v>
      </c>
      <c r="AA22" s="8" t="s">
        <v>32</v>
      </c>
      <c r="AB22" s="32" t="s">
        <v>57</v>
      </c>
      <c r="BB22" s="8" t="s">
        <v>89</v>
      </c>
    </row>
    <row r="23" spans="1:55" ht="18.75" customHeight="1" x14ac:dyDescent="0.2">
      <c r="A23" s="8" t="s">
        <v>663</v>
      </c>
      <c r="B23" s="182" t="s">
        <v>86</v>
      </c>
      <c r="C23" s="20" t="s">
        <v>53</v>
      </c>
      <c r="D23" s="21">
        <v>2015</v>
      </c>
      <c r="E23" s="22" t="s">
        <v>90</v>
      </c>
      <c r="F23" s="23" t="s">
        <v>91</v>
      </c>
      <c r="G23" s="20">
        <v>7</v>
      </c>
      <c r="H23" s="20">
        <v>11</v>
      </c>
      <c r="I23" s="20"/>
      <c r="J23" s="34">
        <v>86.86</v>
      </c>
      <c r="K23" s="45">
        <v>23.1</v>
      </c>
      <c r="L23" s="20">
        <v>14</v>
      </c>
      <c r="M23" s="26" t="s">
        <v>44</v>
      </c>
      <c r="N23" s="26"/>
      <c r="O23" s="34">
        <v>108.29</v>
      </c>
      <c r="P23" s="45">
        <v>4.3600000000000003</v>
      </c>
      <c r="Q23" s="20">
        <v>14</v>
      </c>
      <c r="R23" s="20"/>
      <c r="S23" s="157">
        <f t="shared" si="0"/>
        <v>1.2892110723796886</v>
      </c>
      <c r="T23" s="90">
        <v>-1</v>
      </c>
      <c r="U23" s="161">
        <f t="shared" si="1"/>
        <v>-1.2892110723796886</v>
      </c>
      <c r="V23" s="174">
        <f t="shared" si="2"/>
        <v>-1.251661235320086</v>
      </c>
      <c r="W23" s="174">
        <f t="shared" si="3"/>
        <v>-4.771978266678544</v>
      </c>
      <c r="X23" s="28"/>
      <c r="Y23" s="31">
        <v>3</v>
      </c>
      <c r="Z23" s="32" t="s">
        <v>57</v>
      </c>
      <c r="AA23" s="8" t="s">
        <v>32</v>
      </c>
      <c r="AB23" s="32" t="s">
        <v>57</v>
      </c>
      <c r="AR23" s="8" t="s">
        <v>92</v>
      </c>
      <c r="AS23" s="8" t="s">
        <v>92</v>
      </c>
    </row>
    <row r="24" spans="1:55" ht="18.75" customHeight="1" x14ac:dyDescent="0.2">
      <c r="A24" s="8" t="s">
        <v>663</v>
      </c>
      <c r="B24" s="182" t="s">
        <v>27</v>
      </c>
      <c r="C24" s="20" t="s">
        <v>53</v>
      </c>
      <c r="D24" s="21">
        <v>2015</v>
      </c>
      <c r="E24" s="22" t="s">
        <v>54</v>
      </c>
      <c r="F24" s="23" t="s">
        <v>55</v>
      </c>
      <c r="G24" s="20">
        <v>7</v>
      </c>
      <c r="H24" s="20">
        <v>23</v>
      </c>
      <c r="I24" s="20"/>
      <c r="J24" s="24">
        <v>108.5</v>
      </c>
      <c r="K24" s="25">
        <v>17.82</v>
      </c>
      <c r="L24" s="21">
        <v>14</v>
      </c>
      <c r="M24" s="30" t="s">
        <v>44</v>
      </c>
      <c r="N24" s="30"/>
      <c r="O24" s="24">
        <v>105.93</v>
      </c>
      <c r="P24" s="25">
        <v>9.73</v>
      </c>
      <c r="Q24" s="21">
        <v>14</v>
      </c>
      <c r="R24" s="20"/>
      <c r="S24" s="157">
        <f t="shared" si="0"/>
        <v>-0.17901144563596375</v>
      </c>
      <c r="T24" s="90">
        <v>1</v>
      </c>
      <c r="U24" s="161">
        <f t="shared" si="1"/>
        <v>-0.17901144563596375</v>
      </c>
      <c r="V24" s="174">
        <f t="shared" si="2"/>
        <v>-0.17379752003491625</v>
      </c>
      <c r="W24" s="174">
        <f t="shared" si="3"/>
        <v>-0.25643839990420908</v>
      </c>
      <c r="X24" s="28"/>
      <c r="Y24" s="31" t="s">
        <v>56</v>
      </c>
      <c r="Z24" s="32" t="s">
        <v>57</v>
      </c>
      <c r="AA24" s="8" t="s">
        <v>32</v>
      </c>
      <c r="AB24" s="32" t="s">
        <v>57</v>
      </c>
      <c r="AL24" s="8">
        <v>105.9</v>
      </c>
      <c r="AM24" s="8">
        <v>9.6999999999999993</v>
      </c>
      <c r="AN24" s="8">
        <v>14</v>
      </c>
      <c r="BB24" s="8" t="s">
        <v>53</v>
      </c>
      <c r="BC24" s="8">
        <v>9</v>
      </c>
    </row>
    <row r="25" spans="1:55" ht="18.75" customHeight="1" x14ac:dyDescent="0.2">
      <c r="A25" s="8" t="s">
        <v>663</v>
      </c>
      <c r="B25" s="182" t="s">
        <v>27</v>
      </c>
      <c r="C25" s="20" t="s">
        <v>53</v>
      </c>
      <c r="D25" s="21">
        <v>2015</v>
      </c>
      <c r="E25" s="22" t="s">
        <v>58</v>
      </c>
      <c r="F25" s="23" t="s">
        <v>59</v>
      </c>
      <c r="G25" s="20">
        <v>7</v>
      </c>
      <c r="H25" s="20">
        <v>24</v>
      </c>
      <c r="I25" s="20"/>
      <c r="J25" s="24">
        <v>5.57</v>
      </c>
      <c r="K25" s="25">
        <v>1.1599999999999999</v>
      </c>
      <c r="L25" s="21">
        <v>14</v>
      </c>
      <c r="M25" s="30" t="s">
        <v>44</v>
      </c>
      <c r="N25" s="30"/>
      <c r="O25" s="24">
        <v>6</v>
      </c>
      <c r="P25" s="25">
        <v>0.1</v>
      </c>
      <c r="Q25" s="21">
        <v>14</v>
      </c>
      <c r="R25" s="20"/>
      <c r="S25" s="157">
        <f t="shared" si="0"/>
        <v>0.52229717078688032</v>
      </c>
      <c r="T25" s="90">
        <v>-1</v>
      </c>
      <c r="U25" s="161">
        <f t="shared" si="1"/>
        <v>-0.52229717078688032</v>
      </c>
      <c r="V25" s="174">
        <f t="shared" si="2"/>
        <v>-0.50708463183192265</v>
      </c>
      <c r="W25" s="174">
        <f t="shared" si="3"/>
        <v>-4.1747572815533953</v>
      </c>
      <c r="X25" s="28"/>
      <c r="Y25" s="31" t="s">
        <v>56</v>
      </c>
      <c r="Z25" s="32" t="s">
        <v>57</v>
      </c>
      <c r="AA25" s="8" t="s">
        <v>32</v>
      </c>
      <c r="AB25" s="32" t="s">
        <v>57</v>
      </c>
      <c r="AL25" s="8">
        <v>-6</v>
      </c>
      <c r="AM25" s="8">
        <v>0.1</v>
      </c>
      <c r="AN25" s="8">
        <v>14</v>
      </c>
      <c r="BB25" s="8" t="s">
        <v>53</v>
      </c>
      <c r="BC25" s="8">
        <v>10</v>
      </c>
    </row>
    <row r="26" spans="1:55" ht="18.75" customHeight="1" x14ac:dyDescent="0.2">
      <c r="A26" s="8" t="s">
        <v>663</v>
      </c>
      <c r="B26" s="182" t="s">
        <v>101</v>
      </c>
      <c r="C26" s="20" t="s">
        <v>127</v>
      </c>
      <c r="D26" s="21">
        <v>2018</v>
      </c>
      <c r="E26" s="22" t="s">
        <v>128</v>
      </c>
      <c r="F26" s="20" t="s">
        <v>129</v>
      </c>
      <c r="G26" s="20">
        <v>8</v>
      </c>
      <c r="H26" s="20">
        <v>45</v>
      </c>
      <c r="I26" s="20"/>
      <c r="J26" s="24">
        <v>1.5</v>
      </c>
      <c r="K26" s="25">
        <v>2</v>
      </c>
      <c r="L26" s="21">
        <v>15</v>
      </c>
      <c r="M26" s="26">
        <v>751.2</v>
      </c>
      <c r="N26" s="26"/>
      <c r="O26" s="24">
        <v>1</v>
      </c>
      <c r="P26" s="25">
        <v>1.8</v>
      </c>
      <c r="Q26" s="21">
        <v>24</v>
      </c>
      <c r="R26" s="21"/>
      <c r="S26" s="157">
        <f t="shared" si="0"/>
        <v>-0.26279416561381835</v>
      </c>
      <c r="T26" s="90">
        <v>1</v>
      </c>
      <c r="U26" s="161">
        <f t="shared" si="1"/>
        <v>-0.26621488443561131</v>
      </c>
      <c r="V26" s="174">
        <f t="shared" si="2"/>
        <v>-0.26078192761039476</v>
      </c>
      <c r="W26" s="174">
        <f t="shared" si="3"/>
        <v>-0.27210884353741499</v>
      </c>
      <c r="X26" s="28"/>
      <c r="Y26" s="20">
        <v>1</v>
      </c>
      <c r="Z26" s="29" t="s">
        <v>63</v>
      </c>
      <c r="AA26" s="8" t="s">
        <v>32</v>
      </c>
      <c r="AB26" s="29" t="s">
        <v>48</v>
      </c>
    </row>
    <row r="27" spans="1:55" ht="18.75" customHeight="1" x14ac:dyDescent="0.2">
      <c r="A27" s="8" t="s">
        <v>663</v>
      </c>
      <c r="B27" s="182" t="s">
        <v>146</v>
      </c>
      <c r="C27" s="20" t="s">
        <v>60</v>
      </c>
      <c r="D27" s="21">
        <v>2017</v>
      </c>
      <c r="E27" s="22" t="s">
        <v>169</v>
      </c>
      <c r="F27" s="20" t="s">
        <v>170</v>
      </c>
      <c r="G27" s="20">
        <v>8</v>
      </c>
      <c r="H27" s="20">
        <v>3</v>
      </c>
      <c r="I27" s="20"/>
      <c r="J27" s="24">
        <v>18.899999999999999</v>
      </c>
      <c r="K27" s="25">
        <v>11.3</v>
      </c>
      <c r="L27" s="21">
        <v>37</v>
      </c>
      <c r="M27" s="26">
        <v>720</v>
      </c>
      <c r="N27" s="26"/>
      <c r="O27" s="24">
        <v>13.3</v>
      </c>
      <c r="P27" s="25">
        <v>8.8000000000000007</v>
      </c>
      <c r="Q27" s="21">
        <v>30</v>
      </c>
      <c r="R27" s="21"/>
      <c r="S27" s="27">
        <f t="shared" si="0"/>
        <v>-0.55295327526239435</v>
      </c>
      <c r="T27" s="20">
        <v>1</v>
      </c>
      <c r="U27" s="180">
        <f t="shared" si="1"/>
        <v>-0.54580075086961954</v>
      </c>
      <c r="V27" s="23">
        <f t="shared" si="2"/>
        <v>-0.53947873445028038</v>
      </c>
      <c r="W27" s="23">
        <f t="shared" si="3"/>
        <v>-0.62899262899262864</v>
      </c>
      <c r="X27" s="28"/>
      <c r="Y27" s="20">
        <v>1</v>
      </c>
      <c r="Z27" s="29" t="s">
        <v>63</v>
      </c>
      <c r="AA27" s="8" t="s">
        <v>32</v>
      </c>
      <c r="AB27" s="29" t="s">
        <v>48</v>
      </c>
    </row>
    <row r="28" spans="1:55" ht="18.75" customHeight="1" x14ac:dyDescent="0.2">
      <c r="A28" s="8" t="s">
        <v>663</v>
      </c>
      <c r="B28" s="182" t="s">
        <v>86</v>
      </c>
      <c r="C28" s="20" t="s">
        <v>60</v>
      </c>
      <c r="D28" s="21">
        <v>2017</v>
      </c>
      <c r="E28" s="22" t="s">
        <v>99</v>
      </c>
      <c r="F28" s="23" t="s">
        <v>100</v>
      </c>
      <c r="G28" s="20">
        <v>8</v>
      </c>
      <c r="H28" s="20">
        <v>12</v>
      </c>
      <c r="I28" s="20"/>
      <c r="J28" s="34">
        <v>20.6</v>
      </c>
      <c r="K28" s="45">
        <v>28.2</v>
      </c>
      <c r="L28" s="20">
        <v>37</v>
      </c>
      <c r="M28" s="26">
        <v>720</v>
      </c>
      <c r="N28" s="26"/>
      <c r="O28" s="34">
        <v>2.9</v>
      </c>
      <c r="P28" s="45">
        <v>7.9</v>
      </c>
      <c r="Q28" s="20">
        <v>30</v>
      </c>
      <c r="R28" s="20"/>
      <c r="S28" s="157">
        <f t="shared" si="0"/>
        <v>-0.85473840530477174</v>
      </c>
      <c r="T28" s="90">
        <v>1</v>
      </c>
      <c r="U28" s="161">
        <f t="shared" si="1"/>
        <v>-0.81793370980908064</v>
      </c>
      <c r="V28" s="174">
        <f t="shared" si="2"/>
        <v>-0.80845957417422643</v>
      </c>
      <c r="W28" s="174">
        <f t="shared" si="3"/>
        <v>-2.2145545183519872</v>
      </c>
      <c r="X28" s="28"/>
      <c r="Y28" s="20">
        <v>1</v>
      </c>
      <c r="Z28" s="29" t="s">
        <v>63</v>
      </c>
      <c r="AA28" s="8" t="s">
        <v>32</v>
      </c>
      <c r="AB28" s="29" t="s">
        <v>48</v>
      </c>
    </row>
    <row r="29" spans="1:55" ht="18.75" customHeight="1" x14ac:dyDescent="0.2">
      <c r="A29" s="8" t="s">
        <v>663</v>
      </c>
      <c r="B29" s="182" t="s">
        <v>27</v>
      </c>
      <c r="C29" s="20" t="s">
        <v>60</v>
      </c>
      <c r="D29" s="21">
        <v>2017</v>
      </c>
      <c r="E29" s="22" t="s">
        <v>61</v>
      </c>
      <c r="F29" s="23" t="s">
        <v>62</v>
      </c>
      <c r="G29" s="20">
        <v>8</v>
      </c>
      <c r="H29" s="20">
        <v>25</v>
      </c>
      <c r="I29" s="20"/>
      <c r="J29" s="24">
        <v>37.299999999999997</v>
      </c>
      <c r="K29" s="25">
        <v>11.3</v>
      </c>
      <c r="L29" s="21">
        <v>37</v>
      </c>
      <c r="M29" s="26">
        <v>720</v>
      </c>
      <c r="N29" s="26"/>
      <c r="O29" s="24">
        <v>27.1</v>
      </c>
      <c r="P29" s="25">
        <v>10.199999999999999</v>
      </c>
      <c r="Q29" s="21">
        <v>30</v>
      </c>
      <c r="R29" s="20"/>
      <c r="S29" s="157">
        <f t="shared" si="0"/>
        <v>-0.94759778911230153</v>
      </c>
      <c r="T29" s="90">
        <v>1</v>
      </c>
      <c r="U29" s="161">
        <f t="shared" si="1"/>
        <v>-0.94243284589976595</v>
      </c>
      <c r="V29" s="174">
        <f t="shared" si="2"/>
        <v>-0.93151663532949835</v>
      </c>
      <c r="W29" s="174">
        <f t="shared" si="3"/>
        <v>-0.98841698841698811</v>
      </c>
      <c r="X29" s="28"/>
      <c r="Y29" s="20">
        <v>1</v>
      </c>
      <c r="Z29" s="29" t="s">
        <v>63</v>
      </c>
      <c r="AA29" s="8" t="s">
        <v>32</v>
      </c>
      <c r="AB29" s="29" t="s">
        <v>48</v>
      </c>
      <c r="AL29" s="8">
        <v>27.1</v>
      </c>
      <c r="AM29" s="8">
        <v>10.199999999999999</v>
      </c>
      <c r="AN29" s="8">
        <v>30</v>
      </c>
      <c r="BB29" s="8" t="s">
        <v>60</v>
      </c>
      <c r="BC29" s="8">
        <v>14</v>
      </c>
    </row>
    <row r="30" spans="1:55" ht="18.75" customHeight="1" x14ac:dyDescent="0.2">
      <c r="A30" s="8" t="s">
        <v>663</v>
      </c>
      <c r="B30" s="182" t="s">
        <v>27</v>
      </c>
      <c r="C30" s="20" t="s">
        <v>60</v>
      </c>
      <c r="D30" s="21">
        <v>2017</v>
      </c>
      <c r="E30" s="22" t="s">
        <v>64</v>
      </c>
      <c r="F30" s="23" t="s">
        <v>30</v>
      </c>
      <c r="G30" s="20">
        <v>8</v>
      </c>
      <c r="H30" s="20">
        <v>26</v>
      </c>
      <c r="I30" s="20"/>
      <c r="J30" s="24">
        <v>35.9</v>
      </c>
      <c r="K30" s="25">
        <v>11.4</v>
      </c>
      <c r="L30" s="21">
        <v>37</v>
      </c>
      <c r="M30" s="26">
        <v>720</v>
      </c>
      <c r="N30" s="26"/>
      <c r="O30" s="24">
        <v>41.8</v>
      </c>
      <c r="P30" s="25">
        <v>12.9</v>
      </c>
      <c r="Q30" s="21">
        <v>30</v>
      </c>
      <c r="R30" s="20"/>
      <c r="S30" s="157">
        <f t="shared" si="0"/>
        <v>0.4846741857884948</v>
      </c>
      <c r="T30" s="90">
        <v>-1</v>
      </c>
      <c r="U30" s="161">
        <f t="shared" si="1"/>
        <v>-0.48791615148286677</v>
      </c>
      <c r="V30" s="174">
        <f t="shared" si="2"/>
        <v>-0.48226461304870227</v>
      </c>
      <c r="W30" s="174">
        <f t="shared" si="3"/>
        <v>-0.45206668462482402</v>
      </c>
      <c r="X30" s="28"/>
      <c r="Y30" s="20">
        <v>1</v>
      </c>
      <c r="Z30" s="29" t="s">
        <v>63</v>
      </c>
      <c r="AA30" s="8" t="s">
        <v>32</v>
      </c>
      <c r="AB30" s="29" t="s">
        <v>48</v>
      </c>
      <c r="AL30" s="8">
        <v>-25</v>
      </c>
      <c r="AM30" s="8">
        <v>5</v>
      </c>
      <c r="AN30" s="8">
        <v>30</v>
      </c>
      <c r="BB30" s="8" t="s">
        <v>65</v>
      </c>
      <c r="BC30" s="8">
        <v>15</v>
      </c>
    </row>
    <row r="31" spans="1:55" ht="18.75" customHeight="1" x14ac:dyDescent="0.2">
      <c r="A31" s="8" t="s">
        <v>663</v>
      </c>
      <c r="B31" s="182" t="s">
        <v>27</v>
      </c>
      <c r="C31" s="20" t="s">
        <v>60</v>
      </c>
      <c r="D31" s="21">
        <v>2017</v>
      </c>
      <c r="E31" s="22" t="s">
        <v>66</v>
      </c>
      <c r="F31" s="23" t="s">
        <v>50</v>
      </c>
      <c r="G31" s="20">
        <v>8</v>
      </c>
      <c r="H31" s="20">
        <v>27</v>
      </c>
      <c r="I31" s="20"/>
      <c r="J31" s="24">
        <v>21.4</v>
      </c>
      <c r="K31" s="25">
        <v>6.2</v>
      </c>
      <c r="L31" s="21">
        <v>37</v>
      </c>
      <c r="M31" s="26">
        <v>720</v>
      </c>
      <c r="N31" s="26"/>
      <c r="O31" s="24">
        <v>25</v>
      </c>
      <c r="P31" s="25">
        <v>5</v>
      </c>
      <c r="Q31" s="21">
        <v>30</v>
      </c>
      <c r="R31" s="20"/>
      <c r="S31" s="157">
        <f t="shared" si="0"/>
        <v>0.63919874180559166</v>
      </c>
      <c r="T31" s="90">
        <v>-1</v>
      </c>
      <c r="U31" s="161">
        <f t="shared" si="1"/>
        <v>-0.63202952084964537</v>
      </c>
      <c r="V31" s="174">
        <f t="shared" si="2"/>
        <v>-0.62470871558883867</v>
      </c>
      <c r="W31" s="174">
        <f t="shared" si="3"/>
        <v>-0.71166023166023196</v>
      </c>
      <c r="X31" s="28"/>
      <c r="Y31" s="20">
        <v>1</v>
      </c>
      <c r="Z31" s="29" t="s">
        <v>63</v>
      </c>
      <c r="AA31" s="8" t="s">
        <v>32</v>
      </c>
      <c r="AB31" s="29" t="s">
        <v>48</v>
      </c>
      <c r="AL31" s="8">
        <v>-25</v>
      </c>
      <c r="AM31" s="8">
        <v>5</v>
      </c>
      <c r="AN31" s="8">
        <v>30</v>
      </c>
      <c r="BB31" s="8" t="s">
        <v>65</v>
      </c>
      <c r="BC31" s="8">
        <v>15</v>
      </c>
    </row>
    <row r="32" spans="1:55" ht="18.75" customHeight="1" x14ac:dyDescent="0.2">
      <c r="A32" s="8" t="s">
        <v>663</v>
      </c>
      <c r="B32" s="182" t="s">
        <v>27</v>
      </c>
      <c r="C32" s="20" t="s">
        <v>60</v>
      </c>
      <c r="D32" s="21">
        <v>2017</v>
      </c>
      <c r="E32" s="22" t="s">
        <v>69</v>
      </c>
      <c r="F32" s="23" t="s">
        <v>70</v>
      </c>
      <c r="G32" s="20">
        <v>8</v>
      </c>
      <c r="H32" s="20">
        <v>28</v>
      </c>
      <c r="I32" s="20"/>
      <c r="J32" s="24">
        <v>3.9</v>
      </c>
      <c r="K32" s="25">
        <v>1.2</v>
      </c>
      <c r="L32" s="21">
        <v>37</v>
      </c>
      <c r="M32" s="26">
        <v>720</v>
      </c>
      <c r="N32" s="26"/>
      <c r="O32" s="24">
        <v>4.4000000000000004</v>
      </c>
      <c r="P32" s="25">
        <v>0.9</v>
      </c>
      <c r="Q32" s="21">
        <v>30</v>
      </c>
      <c r="R32" s="20"/>
      <c r="S32" s="157">
        <f t="shared" si="0"/>
        <v>0.47140452079103212</v>
      </c>
      <c r="T32" s="90">
        <v>-1</v>
      </c>
      <c r="U32" s="161">
        <f t="shared" si="1"/>
        <v>-0.46445399085842726</v>
      </c>
      <c r="V32" s="174">
        <f t="shared" si="2"/>
        <v>-0.45907421490253814</v>
      </c>
      <c r="W32" s="174">
        <f t="shared" si="3"/>
        <v>-0.54912054912054964</v>
      </c>
      <c r="X32" s="28"/>
      <c r="Y32" s="20">
        <v>1</v>
      </c>
      <c r="Z32" s="29" t="s">
        <v>63</v>
      </c>
      <c r="AA32" s="8" t="s">
        <v>32</v>
      </c>
      <c r="AB32" s="29" t="s">
        <v>48</v>
      </c>
      <c r="AL32" s="8">
        <v>-4.4000000000000004</v>
      </c>
      <c r="AM32" s="8">
        <v>0.9</v>
      </c>
      <c r="AN32" s="8">
        <v>30</v>
      </c>
      <c r="BB32" s="8" t="s">
        <v>60</v>
      </c>
      <c r="BC32" s="8">
        <v>13</v>
      </c>
    </row>
    <row r="33" spans="1:55" ht="18.75" customHeight="1" x14ac:dyDescent="0.2">
      <c r="A33" s="8" t="s">
        <v>663</v>
      </c>
      <c r="B33" s="182" t="s">
        <v>27</v>
      </c>
      <c r="C33" s="20" t="s">
        <v>60</v>
      </c>
      <c r="D33" s="21">
        <v>2017</v>
      </c>
      <c r="E33" s="22" t="s">
        <v>54</v>
      </c>
      <c r="F33" s="20" t="s">
        <v>71</v>
      </c>
      <c r="G33" s="20">
        <v>8</v>
      </c>
      <c r="H33" s="20">
        <v>29</v>
      </c>
      <c r="I33" s="20"/>
      <c r="J33" s="24">
        <v>8.1</v>
      </c>
      <c r="K33" s="25">
        <v>5.0999999999999996</v>
      </c>
      <c r="L33" s="21">
        <v>37</v>
      </c>
      <c r="M33" s="26">
        <v>720</v>
      </c>
      <c r="N33" s="26"/>
      <c r="O33" s="24">
        <v>6.8</v>
      </c>
      <c r="P33" s="25">
        <v>4.4000000000000004</v>
      </c>
      <c r="Q33" s="21">
        <v>30</v>
      </c>
      <c r="R33" s="20"/>
      <c r="S33" s="157">
        <f t="shared" si="0"/>
        <v>-0.2729442568277331</v>
      </c>
      <c r="T33" s="90">
        <v>1</v>
      </c>
      <c r="U33" s="161">
        <f t="shared" si="1"/>
        <v>-0.27081525065373824</v>
      </c>
      <c r="V33" s="174">
        <f t="shared" si="2"/>
        <v>-0.26767839446855979</v>
      </c>
      <c r="W33" s="174">
        <f t="shared" si="3"/>
        <v>-0.29203229203229197</v>
      </c>
      <c r="X33" s="28"/>
      <c r="Y33" s="20">
        <v>1</v>
      </c>
      <c r="Z33" s="29" t="s">
        <v>63</v>
      </c>
      <c r="AA33" s="8" t="s">
        <v>32</v>
      </c>
      <c r="AB33" s="29" t="s">
        <v>48</v>
      </c>
      <c r="AL33" s="8">
        <v>6.8</v>
      </c>
      <c r="AM33" s="8">
        <v>4.4000000000000004</v>
      </c>
      <c r="AN33" s="8">
        <v>30</v>
      </c>
      <c r="BB33" s="8" t="s">
        <v>60</v>
      </c>
      <c r="BC33" s="8">
        <v>12</v>
      </c>
    </row>
    <row r="34" spans="1:55" ht="18.75" customHeight="1" x14ac:dyDescent="0.2">
      <c r="A34" s="8" t="s">
        <v>663</v>
      </c>
      <c r="B34" s="182" t="s">
        <v>101</v>
      </c>
      <c r="C34" s="20" t="s">
        <v>60</v>
      </c>
      <c r="D34" s="21">
        <v>2017</v>
      </c>
      <c r="E34" s="22" t="s">
        <v>102</v>
      </c>
      <c r="F34" s="20" t="s">
        <v>103</v>
      </c>
      <c r="G34" s="20">
        <v>8</v>
      </c>
      <c r="H34" s="20">
        <v>47</v>
      </c>
      <c r="I34" s="20"/>
      <c r="J34" s="24">
        <v>0.5</v>
      </c>
      <c r="K34" s="25">
        <v>1.1000000000000001</v>
      </c>
      <c r="L34" s="21">
        <v>37</v>
      </c>
      <c r="M34" s="26">
        <v>720</v>
      </c>
      <c r="N34" s="26"/>
      <c r="O34" s="24">
        <v>0.8</v>
      </c>
      <c r="P34" s="25">
        <v>1</v>
      </c>
      <c r="Q34" s="21">
        <v>30</v>
      </c>
      <c r="R34" s="21"/>
      <c r="S34" s="27">
        <f t="shared" si="0"/>
        <v>0.2853908964926965</v>
      </c>
      <c r="T34" s="20">
        <v>1</v>
      </c>
      <c r="U34" s="180">
        <f t="shared" si="1"/>
        <v>0.2839417770341558</v>
      </c>
      <c r="V34" s="23">
        <f t="shared" si="2"/>
        <v>0.28065287614186829</v>
      </c>
      <c r="W34" s="23">
        <f t="shared" si="3"/>
        <v>0.29652509652509657</v>
      </c>
      <c r="X34" s="28"/>
      <c r="Y34" s="20">
        <v>1</v>
      </c>
      <c r="Z34" s="29" t="s">
        <v>63</v>
      </c>
      <c r="AA34" s="8" t="s">
        <v>32</v>
      </c>
      <c r="AB34" s="29" t="s">
        <v>48</v>
      </c>
    </row>
    <row r="35" spans="1:55" ht="18.75" customHeight="1" x14ac:dyDescent="0.2">
      <c r="A35" s="8" t="s">
        <v>663</v>
      </c>
      <c r="B35" s="182" t="s">
        <v>101</v>
      </c>
      <c r="C35" s="20" t="s">
        <v>60</v>
      </c>
      <c r="D35" s="21">
        <v>2017</v>
      </c>
      <c r="E35" s="22" t="s">
        <v>134</v>
      </c>
      <c r="F35" s="20" t="s">
        <v>135</v>
      </c>
      <c r="G35" s="20">
        <v>8</v>
      </c>
      <c r="H35" s="20">
        <v>48</v>
      </c>
      <c r="I35" s="20"/>
      <c r="J35" s="24">
        <v>1.3</v>
      </c>
      <c r="K35" s="25">
        <v>2</v>
      </c>
      <c r="L35" s="21">
        <v>37</v>
      </c>
      <c r="M35" s="26">
        <v>720</v>
      </c>
      <c r="N35" s="26"/>
      <c r="O35" s="24">
        <v>1.1000000000000001</v>
      </c>
      <c r="P35" s="25">
        <v>1.6</v>
      </c>
      <c r="Q35" s="21">
        <v>30</v>
      </c>
      <c r="R35" s="21"/>
      <c r="S35" s="27">
        <f t="shared" si="0"/>
        <v>-0.11043152607484651</v>
      </c>
      <c r="T35" s="20">
        <v>1</v>
      </c>
      <c r="U35" s="180">
        <f t="shared" si="1"/>
        <v>-0.10914893373767046</v>
      </c>
      <c r="V35" s="23">
        <f t="shared" si="2"/>
        <v>-0.10788466037391366</v>
      </c>
      <c r="W35" s="23">
        <f t="shared" si="3"/>
        <v>-0.12355212355212353</v>
      </c>
      <c r="X35" s="28"/>
      <c r="Y35" s="20">
        <v>1</v>
      </c>
      <c r="Z35" s="29" t="s">
        <v>63</v>
      </c>
      <c r="AA35" s="8" t="s">
        <v>32</v>
      </c>
      <c r="AB35" s="29" t="s">
        <v>48</v>
      </c>
    </row>
    <row r="36" spans="1:55" ht="18.75" customHeight="1" x14ac:dyDescent="0.2">
      <c r="A36" s="8" t="s">
        <v>663</v>
      </c>
      <c r="B36" s="182" t="s">
        <v>146</v>
      </c>
      <c r="C36" s="20" t="s">
        <v>509</v>
      </c>
      <c r="D36" s="21">
        <v>2021</v>
      </c>
      <c r="E36" s="22" t="s">
        <v>512</v>
      </c>
      <c r="F36" s="96" t="s">
        <v>513</v>
      </c>
      <c r="G36" s="21">
        <v>9</v>
      </c>
      <c r="H36" s="20">
        <v>4</v>
      </c>
      <c r="I36" s="20"/>
      <c r="J36" s="36">
        <v>144</v>
      </c>
      <c r="K36" s="25">
        <f>(177-95)/1.35</f>
        <v>60.740740740740733</v>
      </c>
      <c r="L36" s="21">
        <v>19</v>
      </c>
      <c r="M36" s="26">
        <v>890</v>
      </c>
      <c r="N36" s="26"/>
      <c r="O36" s="36">
        <v>258</v>
      </c>
      <c r="P36" s="25">
        <f>(275-240)/1.35</f>
        <v>25.925925925925924</v>
      </c>
      <c r="Q36" s="21">
        <v>25</v>
      </c>
      <c r="R36" s="21"/>
      <c r="S36" s="157">
        <f t="shared" si="0"/>
        <v>2.4411663181416556</v>
      </c>
      <c r="T36" s="90">
        <v>-1</v>
      </c>
      <c r="U36" s="161">
        <f t="shared" si="1"/>
        <v>-2.571539207552469</v>
      </c>
      <c r="V36" s="174">
        <f t="shared" si="2"/>
        <v>-2.525343892446736</v>
      </c>
      <c r="W36" s="174">
        <f t="shared" si="3"/>
        <v>-4.3181522668947823</v>
      </c>
      <c r="X36" s="28"/>
      <c r="Y36" s="48">
        <v>2</v>
      </c>
      <c r="Z36" s="42"/>
      <c r="AA36" s="8" t="s">
        <v>32</v>
      </c>
      <c r="AB36" s="42"/>
    </row>
    <row r="37" spans="1:55" ht="18.75" customHeight="1" x14ac:dyDescent="0.2">
      <c r="A37" s="8" t="s">
        <v>663</v>
      </c>
      <c r="B37" s="182" t="s">
        <v>86</v>
      </c>
      <c r="C37" s="20" t="s">
        <v>509</v>
      </c>
      <c r="D37" s="21">
        <v>2021</v>
      </c>
      <c r="E37" s="22" t="s">
        <v>87</v>
      </c>
      <c r="F37" s="23"/>
      <c r="G37" s="20">
        <v>9</v>
      </c>
      <c r="H37" s="20">
        <v>13</v>
      </c>
      <c r="I37" s="20"/>
      <c r="J37" s="34">
        <v>16</v>
      </c>
      <c r="K37" s="45">
        <f>(18-14)/1.35</f>
        <v>2.9629629629629628</v>
      </c>
      <c r="L37" s="20">
        <v>19</v>
      </c>
      <c r="M37" s="26">
        <v>890</v>
      </c>
      <c r="N37" s="26"/>
      <c r="O37" s="34">
        <v>18</v>
      </c>
      <c r="P37" s="45">
        <f>(19-17)/1.35</f>
        <v>1.4814814814814814</v>
      </c>
      <c r="Q37" s="20">
        <v>25</v>
      </c>
      <c r="R37" s="20"/>
      <c r="S37" s="157">
        <f t="shared" si="0"/>
        <v>0.85381496824546244</v>
      </c>
      <c r="T37" s="90">
        <v>-1</v>
      </c>
      <c r="U37" s="161">
        <f t="shared" si="1"/>
        <v>-0.89294106748429947</v>
      </c>
      <c r="V37" s="174">
        <f t="shared" si="2"/>
        <v>-0.87690020998458151</v>
      </c>
      <c r="W37" s="174">
        <f t="shared" si="3"/>
        <v>-1.3257485029940119</v>
      </c>
      <c r="X37" s="28"/>
      <c r="Y37" s="20"/>
      <c r="AB37" s="29"/>
    </row>
    <row r="38" spans="1:55" ht="18.75" customHeight="1" x14ac:dyDescent="0.2">
      <c r="A38" s="8" t="s">
        <v>663</v>
      </c>
      <c r="B38" s="182" t="s">
        <v>27</v>
      </c>
      <c r="C38" s="20" t="s">
        <v>509</v>
      </c>
      <c r="D38" s="21">
        <v>2021</v>
      </c>
      <c r="E38" s="22" t="s">
        <v>42</v>
      </c>
      <c r="F38" s="23" t="s">
        <v>43</v>
      </c>
      <c r="G38" s="20">
        <v>9</v>
      </c>
      <c r="H38" s="20">
        <v>30</v>
      </c>
      <c r="I38" s="20"/>
      <c r="J38" s="24">
        <v>16</v>
      </c>
      <c r="K38" s="25">
        <f>(23-13)/1.35</f>
        <v>7.4074074074074066</v>
      </c>
      <c r="L38" s="21">
        <v>19</v>
      </c>
      <c r="M38" s="26">
        <v>890</v>
      </c>
      <c r="N38" s="26"/>
      <c r="O38" s="24">
        <v>21</v>
      </c>
      <c r="P38" s="25">
        <f>(23-20)/1.35</f>
        <v>2.2222222222222219</v>
      </c>
      <c r="Q38" s="21">
        <v>25</v>
      </c>
      <c r="R38" s="20"/>
      <c r="S38" s="157">
        <f t="shared" si="0"/>
        <v>0.91433537299610512</v>
      </c>
      <c r="T38" s="90">
        <v>-1</v>
      </c>
      <c r="U38" s="161">
        <f t="shared" si="1"/>
        <v>-0.9742785792574935</v>
      </c>
      <c r="V38" s="174">
        <f t="shared" si="2"/>
        <v>-0.95677656885167028</v>
      </c>
      <c r="W38" s="174">
        <f t="shared" si="3"/>
        <v>-2.2095808383233537</v>
      </c>
      <c r="X38" s="28"/>
      <c r="Y38" s="20">
        <v>2</v>
      </c>
      <c r="AA38" s="8" t="s">
        <v>32</v>
      </c>
      <c r="AB38" s="29" t="s">
        <v>31</v>
      </c>
    </row>
    <row r="39" spans="1:55" ht="18.75" customHeight="1" x14ac:dyDescent="0.2">
      <c r="A39" s="8" t="s">
        <v>663</v>
      </c>
      <c r="B39" s="182" t="s">
        <v>27</v>
      </c>
      <c r="C39" s="20" t="s">
        <v>509</v>
      </c>
      <c r="D39" s="21">
        <v>2021</v>
      </c>
      <c r="E39" s="22" t="s">
        <v>49</v>
      </c>
      <c r="F39" s="23" t="s">
        <v>50</v>
      </c>
      <c r="G39" s="20">
        <v>9</v>
      </c>
      <c r="H39" s="20">
        <v>31</v>
      </c>
      <c r="I39" s="20"/>
      <c r="J39" s="24">
        <v>25</v>
      </c>
      <c r="K39" s="25">
        <f>(29-17)/1.35</f>
        <v>8.8888888888888875</v>
      </c>
      <c r="L39" s="21">
        <v>19</v>
      </c>
      <c r="M39" s="26">
        <v>890</v>
      </c>
      <c r="N39" s="26"/>
      <c r="O39" s="24">
        <v>34</v>
      </c>
      <c r="P39" s="25">
        <f>(36-30)/1.35</f>
        <v>4.4444444444444438</v>
      </c>
      <c r="Q39" s="21">
        <v>25</v>
      </c>
      <c r="R39" s="20"/>
      <c r="S39" s="157">
        <f t="shared" si="0"/>
        <v>1.2807224523681937</v>
      </c>
      <c r="T39" s="90">
        <v>-1</v>
      </c>
      <c r="U39" s="161">
        <f t="shared" si="1"/>
        <v>-1.3394116012264492</v>
      </c>
      <c r="V39" s="174">
        <f t="shared" si="2"/>
        <v>-1.3153503149768722</v>
      </c>
      <c r="W39" s="174">
        <f t="shared" si="3"/>
        <v>-1.9886227544910182</v>
      </c>
      <c r="X39" s="28"/>
      <c r="Y39" s="20">
        <v>2</v>
      </c>
      <c r="AA39" s="8" t="s">
        <v>32</v>
      </c>
      <c r="AB39" s="29" t="s">
        <v>31</v>
      </c>
    </row>
    <row r="40" spans="1:55" ht="18.75" customHeight="1" x14ac:dyDescent="0.2">
      <c r="A40" s="8" t="s">
        <v>663</v>
      </c>
      <c r="B40" s="182" t="s">
        <v>27</v>
      </c>
      <c r="C40" s="20" t="s">
        <v>72</v>
      </c>
      <c r="D40" s="21">
        <v>2017</v>
      </c>
      <c r="E40" s="22" t="s">
        <v>54</v>
      </c>
      <c r="F40" s="20" t="s">
        <v>71</v>
      </c>
      <c r="G40" s="20">
        <v>10</v>
      </c>
      <c r="H40" s="20">
        <v>32</v>
      </c>
      <c r="I40" s="20"/>
      <c r="J40" s="24">
        <v>21</v>
      </c>
      <c r="K40" s="25">
        <v>32</v>
      </c>
      <c r="L40" s="21">
        <v>25</v>
      </c>
      <c r="M40" s="26">
        <v>1332</v>
      </c>
      <c r="N40" s="26"/>
      <c r="O40" s="24">
        <v>12</v>
      </c>
      <c r="P40" s="25">
        <v>9</v>
      </c>
      <c r="Q40" s="21">
        <v>15</v>
      </c>
      <c r="R40" s="20"/>
      <c r="S40" s="157">
        <f t="shared" si="0"/>
        <v>-0.38289206683036531</v>
      </c>
      <c r="T40" s="90">
        <v>1</v>
      </c>
      <c r="U40" s="161">
        <f t="shared" si="1"/>
        <v>-0.34600571285103698</v>
      </c>
      <c r="V40" s="174">
        <f t="shared" si="2"/>
        <v>-0.3391314271652548</v>
      </c>
      <c r="W40" s="174">
        <f t="shared" si="3"/>
        <v>-0.98013245033112584</v>
      </c>
      <c r="X40" s="28"/>
      <c r="Y40" s="20">
        <v>1</v>
      </c>
      <c r="Z40" s="29" t="s">
        <v>63</v>
      </c>
      <c r="AA40" s="8" t="s">
        <v>32</v>
      </c>
      <c r="AB40" s="29" t="s">
        <v>48</v>
      </c>
      <c r="AL40" s="8">
        <v>-12</v>
      </c>
      <c r="AM40" s="8">
        <v>9</v>
      </c>
      <c r="AN40" s="8">
        <v>15</v>
      </c>
      <c r="BB40" s="8" t="s">
        <v>72</v>
      </c>
      <c r="BC40" s="8">
        <v>16</v>
      </c>
    </row>
    <row r="41" spans="1:55" ht="18.75" customHeight="1" x14ac:dyDescent="0.2">
      <c r="A41" s="8" t="s">
        <v>663</v>
      </c>
      <c r="B41" s="182" t="s">
        <v>146</v>
      </c>
      <c r="C41" s="21" t="s">
        <v>77</v>
      </c>
      <c r="D41" s="21">
        <v>2020</v>
      </c>
      <c r="E41" s="22" t="s">
        <v>169</v>
      </c>
      <c r="F41" s="20" t="s">
        <v>170</v>
      </c>
      <c r="G41" s="21">
        <v>11</v>
      </c>
      <c r="H41" s="20">
        <v>5</v>
      </c>
      <c r="I41" s="20"/>
      <c r="J41" s="24">
        <v>24.2</v>
      </c>
      <c r="K41" s="25">
        <v>12</v>
      </c>
      <c r="L41" s="21">
        <v>19</v>
      </c>
      <c r="M41" s="26">
        <v>1042</v>
      </c>
      <c r="N41" s="26"/>
      <c r="O41" s="24">
        <v>15.9</v>
      </c>
      <c r="P41" s="25">
        <v>9.6</v>
      </c>
      <c r="Q41" s="21">
        <v>19</v>
      </c>
      <c r="R41" s="21"/>
      <c r="S41" s="157">
        <f t="shared" si="0"/>
        <v>-0.76381805535102176</v>
      </c>
      <c r="T41" s="90">
        <v>1</v>
      </c>
      <c r="U41" s="161">
        <f t="shared" si="1"/>
        <v>-0.76381805535102176</v>
      </c>
      <c r="V41" s="174">
        <f t="shared" si="2"/>
        <v>-0.74779390034365767</v>
      </c>
      <c r="W41" s="174">
        <f t="shared" si="3"/>
        <v>-0.84644522144522139</v>
      </c>
      <c r="X41" s="28"/>
      <c r="Y41" s="20">
        <v>1</v>
      </c>
      <c r="Z41" s="29" t="s">
        <v>63</v>
      </c>
      <c r="AA41" s="42" t="s">
        <v>44</v>
      </c>
      <c r="AB41" s="29" t="s">
        <v>48</v>
      </c>
    </row>
    <row r="42" spans="1:55" ht="18.75" customHeight="1" x14ac:dyDescent="0.2">
      <c r="A42" s="8" t="s">
        <v>663</v>
      </c>
      <c r="B42" s="182" t="s">
        <v>27</v>
      </c>
      <c r="C42" s="21" t="s">
        <v>77</v>
      </c>
      <c r="D42" s="21">
        <v>2020</v>
      </c>
      <c r="E42" s="22" t="s">
        <v>61</v>
      </c>
      <c r="F42" s="23" t="s">
        <v>62</v>
      </c>
      <c r="G42" s="21">
        <v>11</v>
      </c>
      <c r="H42" s="20">
        <v>33</v>
      </c>
      <c r="I42" s="20"/>
      <c r="J42" s="24">
        <v>41.6</v>
      </c>
      <c r="K42" s="25">
        <v>12</v>
      </c>
      <c r="L42" s="21">
        <v>19</v>
      </c>
      <c r="M42" s="26">
        <v>1042</v>
      </c>
      <c r="N42" s="26"/>
      <c r="O42" s="24">
        <v>39.4</v>
      </c>
      <c r="P42" s="25">
        <v>9.1</v>
      </c>
      <c r="Q42" s="21">
        <v>19</v>
      </c>
      <c r="R42" s="21"/>
      <c r="S42" s="157">
        <f t="shared" si="0"/>
        <v>-0.20658870789239581</v>
      </c>
      <c r="T42" s="90">
        <v>1</v>
      </c>
      <c r="U42" s="161">
        <f t="shared" si="1"/>
        <v>-0.20658870789239581</v>
      </c>
      <c r="V42" s="174">
        <f t="shared" si="2"/>
        <v>-0.20225467905549241</v>
      </c>
      <c r="W42" s="174">
        <f t="shared" si="3"/>
        <v>-0.23668639053254473</v>
      </c>
      <c r="X42" s="28"/>
      <c r="Y42" s="20">
        <v>1</v>
      </c>
      <c r="Z42" s="29" t="s">
        <v>63</v>
      </c>
      <c r="AA42" s="8" t="s">
        <v>32</v>
      </c>
      <c r="AB42" s="29" t="s">
        <v>48</v>
      </c>
    </row>
    <row r="43" spans="1:55" ht="18.75" customHeight="1" x14ac:dyDescent="0.2">
      <c r="A43" s="8" t="s">
        <v>663</v>
      </c>
      <c r="B43" s="182" t="s">
        <v>27</v>
      </c>
      <c r="C43" s="21" t="s">
        <v>77</v>
      </c>
      <c r="D43" s="21">
        <v>2020</v>
      </c>
      <c r="E43" s="22" t="s">
        <v>64</v>
      </c>
      <c r="F43" s="23" t="s">
        <v>30</v>
      </c>
      <c r="G43" s="21">
        <v>11</v>
      </c>
      <c r="H43" s="20">
        <v>34</v>
      </c>
      <c r="I43" s="20"/>
      <c r="J43" s="24">
        <v>39</v>
      </c>
      <c r="K43" s="25">
        <v>11</v>
      </c>
      <c r="L43" s="21">
        <v>19</v>
      </c>
      <c r="M43" s="26">
        <v>1042</v>
      </c>
      <c r="N43" s="26"/>
      <c r="O43" s="24">
        <v>47.5</v>
      </c>
      <c r="P43" s="25">
        <v>9.3000000000000007</v>
      </c>
      <c r="Q43" s="21">
        <v>19</v>
      </c>
      <c r="R43" s="21"/>
      <c r="S43" s="157">
        <f t="shared" si="0"/>
        <v>0.83451728833808958</v>
      </c>
      <c r="T43" s="90">
        <v>-1</v>
      </c>
      <c r="U43" s="161">
        <f t="shared" si="1"/>
        <v>-0.83451728833808958</v>
      </c>
      <c r="V43" s="174">
        <f t="shared" si="2"/>
        <v>-0.81700993263868915</v>
      </c>
      <c r="W43" s="174">
        <f t="shared" si="3"/>
        <v>-0.89480412061057224</v>
      </c>
      <c r="X43" s="28"/>
      <c r="Y43" s="20">
        <v>1</v>
      </c>
      <c r="Z43" s="29" t="s">
        <v>63</v>
      </c>
      <c r="AA43" s="8" t="s">
        <v>32</v>
      </c>
      <c r="AB43" s="29" t="s">
        <v>48</v>
      </c>
    </row>
    <row r="44" spans="1:55" ht="18.75" customHeight="1" x14ac:dyDescent="0.2">
      <c r="A44" s="8" t="s">
        <v>663</v>
      </c>
      <c r="B44" s="182" t="s">
        <v>27</v>
      </c>
      <c r="C44" s="21" t="s">
        <v>77</v>
      </c>
      <c r="D44" s="21">
        <v>2020</v>
      </c>
      <c r="E44" s="22" t="s">
        <v>66</v>
      </c>
      <c r="F44" s="23" t="s">
        <v>50</v>
      </c>
      <c r="G44" s="21">
        <v>11</v>
      </c>
      <c r="H44" s="20">
        <v>35</v>
      </c>
      <c r="I44" s="20"/>
      <c r="J44" s="24">
        <v>20.100000000000001</v>
      </c>
      <c r="K44" s="25">
        <v>4.8</v>
      </c>
      <c r="L44" s="21">
        <v>19</v>
      </c>
      <c r="M44" s="26">
        <v>1042</v>
      </c>
      <c r="N44" s="26"/>
      <c r="O44" s="24">
        <v>23.5</v>
      </c>
      <c r="P44" s="25">
        <v>3.6</v>
      </c>
      <c r="Q44" s="21">
        <v>19</v>
      </c>
      <c r="R44" s="21"/>
      <c r="S44" s="157">
        <f t="shared" si="0"/>
        <v>0.80138768534475358</v>
      </c>
      <c r="T44" s="90">
        <v>-1</v>
      </c>
      <c r="U44" s="161">
        <f t="shared" si="1"/>
        <v>-0.80138768534475358</v>
      </c>
      <c r="V44" s="174">
        <f t="shared" si="2"/>
        <v>-0.78457535628157693</v>
      </c>
      <c r="W44" s="174">
        <f t="shared" si="3"/>
        <v>-0.92463092463092422</v>
      </c>
      <c r="X44" s="28"/>
      <c r="Y44" s="20">
        <v>1</v>
      </c>
      <c r="Z44" s="29" t="s">
        <v>63</v>
      </c>
      <c r="AA44" s="8" t="s">
        <v>32</v>
      </c>
      <c r="AB44" s="29" t="s">
        <v>48</v>
      </c>
    </row>
    <row r="45" spans="1:55" ht="18.75" customHeight="1" x14ac:dyDescent="0.2">
      <c r="A45" s="8" t="s">
        <v>663</v>
      </c>
      <c r="B45" s="182" t="s">
        <v>27</v>
      </c>
      <c r="C45" s="21" t="s">
        <v>77</v>
      </c>
      <c r="D45" s="21">
        <v>2020</v>
      </c>
      <c r="E45" s="22" t="s">
        <v>69</v>
      </c>
      <c r="F45" s="23" t="s">
        <v>70</v>
      </c>
      <c r="G45" s="21">
        <v>11</v>
      </c>
      <c r="H45" s="20">
        <v>36</v>
      </c>
      <c r="I45" s="20"/>
      <c r="J45" s="24">
        <v>4</v>
      </c>
      <c r="K45" s="25">
        <v>1.1000000000000001</v>
      </c>
      <c r="L45" s="21">
        <v>19</v>
      </c>
      <c r="M45" s="26">
        <v>1042</v>
      </c>
      <c r="N45" s="26"/>
      <c r="O45" s="24">
        <v>4.0999999999999996</v>
      </c>
      <c r="P45" s="25">
        <v>1</v>
      </c>
      <c r="Q45" s="21">
        <v>19</v>
      </c>
      <c r="R45" s="21"/>
      <c r="S45" s="157">
        <f t="shared" si="0"/>
        <v>9.5130298830898477E-2</v>
      </c>
      <c r="T45" s="90">
        <v>-1</v>
      </c>
      <c r="U45" s="161">
        <f t="shared" si="1"/>
        <v>-9.5130298830898477E-2</v>
      </c>
      <c r="V45" s="174">
        <f t="shared" si="2"/>
        <v>-9.3134558295984521E-2</v>
      </c>
      <c r="W45" s="174">
        <f t="shared" si="3"/>
        <v>-9.7902097902097557E-2</v>
      </c>
      <c r="X45" s="28"/>
      <c r="Y45" s="20">
        <v>1</v>
      </c>
      <c r="Z45" s="29" t="s">
        <v>63</v>
      </c>
      <c r="AA45" s="8" t="s">
        <v>32</v>
      </c>
      <c r="AB45" s="29" t="s">
        <v>48</v>
      </c>
    </row>
    <row r="46" spans="1:55" ht="18.75" customHeight="1" x14ac:dyDescent="0.2">
      <c r="A46" s="8" t="s">
        <v>663</v>
      </c>
      <c r="B46" s="182" t="s">
        <v>27</v>
      </c>
      <c r="C46" s="21" t="s">
        <v>77</v>
      </c>
      <c r="D46" s="21">
        <v>2020</v>
      </c>
      <c r="E46" s="22" t="s">
        <v>54</v>
      </c>
      <c r="F46" s="20" t="s">
        <v>71</v>
      </c>
      <c r="G46" s="21">
        <v>11</v>
      </c>
      <c r="H46" s="20">
        <v>37</v>
      </c>
      <c r="I46" s="20"/>
      <c r="J46" s="24">
        <v>7</v>
      </c>
      <c r="K46" s="25">
        <v>3.1</v>
      </c>
      <c r="L46" s="21">
        <v>19</v>
      </c>
      <c r="M46" s="26">
        <v>1042</v>
      </c>
      <c r="N46" s="26"/>
      <c r="O46" s="24">
        <v>7.8</v>
      </c>
      <c r="P46" s="25">
        <v>3.3</v>
      </c>
      <c r="Q46" s="21">
        <v>19</v>
      </c>
      <c r="R46" s="21"/>
      <c r="S46" s="157">
        <f t="shared" si="0"/>
        <v>0.24987801902176965</v>
      </c>
      <c r="T46" s="90">
        <v>1</v>
      </c>
      <c r="U46" s="161">
        <f t="shared" si="1"/>
        <v>0.24987801902176965</v>
      </c>
      <c r="V46" s="174">
        <f t="shared" si="2"/>
        <v>0.24463582281851576</v>
      </c>
      <c r="W46" s="174">
        <f t="shared" si="3"/>
        <v>0.23733841915660095</v>
      </c>
      <c r="X46" s="28"/>
      <c r="Y46" s="20">
        <v>1</v>
      </c>
      <c r="Z46" s="29" t="s">
        <v>63</v>
      </c>
      <c r="AA46" s="8" t="s">
        <v>32</v>
      </c>
      <c r="AB46" s="29" t="s">
        <v>48</v>
      </c>
    </row>
    <row r="47" spans="1:55" ht="18.75" customHeight="1" x14ac:dyDescent="0.2">
      <c r="A47" s="8" t="s">
        <v>663</v>
      </c>
      <c r="B47" s="182" t="s">
        <v>146</v>
      </c>
      <c r="C47" s="20" t="s">
        <v>154</v>
      </c>
      <c r="D47" s="21">
        <v>1994</v>
      </c>
      <c r="E47" s="22" t="s">
        <v>155</v>
      </c>
      <c r="F47" s="20" t="s">
        <v>156</v>
      </c>
      <c r="G47" s="20">
        <v>12</v>
      </c>
      <c r="H47" s="20">
        <v>6</v>
      </c>
      <c r="I47" s="20"/>
      <c r="J47" s="24">
        <v>51.9</v>
      </c>
      <c r="K47" s="25">
        <v>8.6999999999999993</v>
      </c>
      <c r="L47" s="21">
        <v>19</v>
      </c>
      <c r="M47" s="26">
        <v>1332</v>
      </c>
      <c r="N47" s="26"/>
      <c r="O47" s="24">
        <v>39.9</v>
      </c>
      <c r="P47" s="25">
        <v>6.6</v>
      </c>
      <c r="Q47" s="21">
        <v>20</v>
      </c>
      <c r="R47" s="21"/>
      <c r="S47" s="157">
        <f t="shared" si="0"/>
        <v>-1.5540573797716228</v>
      </c>
      <c r="T47" s="90">
        <v>1</v>
      </c>
      <c r="U47" s="161">
        <f t="shared" si="1"/>
        <v>-1.5597467935528373</v>
      </c>
      <c r="V47" s="174">
        <f t="shared" si="2"/>
        <v>-1.5279152263374733</v>
      </c>
      <c r="W47" s="174">
        <f t="shared" si="3"/>
        <v>-1.7810760667903527</v>
      </c>
      <c r="X47" s="28"/>
      <c r="Y47" s="48" t="s">
        <v>75</v>
      </c>
      <c r="Z47" s="29" t="s">
        <v>143</v>
      </c>
      <c r="AA47" s="42" t="s">
        <v>44</v>
      </c>
      <c r="AB47" s="29" t="s">
        <v>143</v>
      </c>
      <c r="AC47" s="29"/>
    </row>
    <row r="48" spans="1:55" ht="18.75" customHeight="1" x14ac:dyDescent="0.2">
      <c r="A48" s="8" t="s">
        <v>663</v>
      </c>
      <c r="B48" s="182" t="s">
        <v>27</v>
      </c>
      <c r="C48" s="20" t="s">
        <v>76</v>
      </c>
      <c r="D48" s="21">
        <v>1996</v>
      </c>
      <c r="E48" s="22" t="s">
        <v>74</v>
      </c>
      <c r="F48" s="20"/>
      <c r="G48" s="20">
        <v>13</v>
      </c>
      <c r="H48" s="20">
        <v>38</v>
      </c>
      <c r="I48" s="20"/>
      <c r="J48" s="34">
        <v>4.4000000000000004</v>
      </c>
      <c r="K48" s="25">
        <v>1.71</v>
      </c>
      <c r="L48" s="21">
        <v>11</v>
      </c>
      <c r="M48" s="35">
        <v>1545</v>
      </c>
      <c r="N48" s="35"/>
      <c r="O48" s="24">
        <v>5.59</v>
      </c>
      <c r="P48" s="25">
        <v>1.33</v>
      </c>
      <c r="Q48" s="21">
        <v>22</v>
      </c>
      <c r="R48" s="20"/>
      <c r="S48" s="157">
        <f t="shared" si="0"/>
        <v>0.77684912716398946</v>
      </c>
      <c r="T48" s="90">
        <v>-1</v>
      </c>
      <c r="U48" s="161">
        <f t="shared" si="1"/>
        <v>-0.81317373496962264</v>
      </c>
      <c r="V48" s="174">
        <f t="shared" si="2"/>
        <v>-0.79334022923865621</v>
      </c>
      <c r="W48" s="174">
        <f t="shared" si="3"/>
        <v>-0.8729139922978173</v>
      </c>
      <c r="X48" s="28"/>
      <c r="Y48" s="31" t="s">
        <v>75</v>
      </c>
      <c r="Z48" s="32" t="s">
        <v>75</v>
      </c>
      <c r="AA48" s="32" t="s">
        <v>75</v>
      </c>
      <c r="AB48" s="32" t="s">
        <v>75</v>
      </c>
    </row>
    <row r="49" spans="1:28" ht="18.75" customHeight="1" x14ac:dyDescent="0.2">
      <c r="A49" s="8" t="s">
        <v>663</v>
      </c>
      <c r="B49" s="182" t="s">
        <v>27</v>
      </c>
      <c r="C49" s="20" t="s">
        <v>76</v>
      </c>
      <c r="D49" s="21">
        <v>1996</v>
      </c>
      <c r="E49" s="22" t="s">
        <v>54</v>
      </c>
      <c r="F49" s="20"/>
      <c r="G49" s="20">
        <v>13</v>
      </c>
      <c r="H49" s="20">
        <v>39</v>
      </c>
      <c r="I49" s="20"/>
      <c r="J49" s="24">
        <v>23</v>
      </c>
      <c r="K49" s="25">
        <v>10.1</v>
      </c>
      <c r="L49" s="21">
        <v>11</v>
      </c>
      <c r="M49" s="35">
        <v>1545</v>
      </c>
      <c r="N49" s="35"/>
      <c r="O49" s="24">
        <v>9.68</v>
      </c>
      <c r="P49" s="25">
        <v>8.23</v>
      </c>
      <c r="Q49" s="21">
        <v>22</v>
      </c>
      <c r="R49" s="20"/>
      <c r="S49" s="157">
        <f t="shared" si="0"/>
        <v>-1.4458505809451692</v>
      </c>
      <c r="T49" s="90">
        <v>1</v>
      </c>
      <c r="U49" s="161">
        <f t="shared" si="1"/>
        <v>-1.5006126202727954</v>
      </c>
      <c r="V49" s="174">
        <f t="shared" si="2"/>
        <v>-1.4640123124612638</v>
      </c>
      <c r="W49" s="174">
        <f t="shared" si="3"/>
        <v>-1.5789941617520671</v>
      </c>
      <c r="X49" s="28"/>
      <c r="Y49" s="31" t="s">
        <v>75</v>
      </c>
      <c r="Z49" s="32" t="s">
        <v>75</v>
      </c>
      <c r="AA49" s="32" t="s">
        <v>75</v>
      </c>
      <c r="AB49" s="32" t="s">
        <v>75</v>
      </c>
    </row>
    <row r="50" spans="1:28" ht="18.75" customHeight="1" x14ac:dyDescent="0.2">
      <c r="A50" s="8" t="s">
        <v>663</v>
      </c>
      <c r="B50" s="182" t="s">
        <v>27</v>
      </c>
      <c r="C50" s="20" t="s">
        <v>73</v>
      </c>
      <c r="D50" s="21">
        <v>1996</v>
      </c>
      <c r="E50" s="22" t="s">
        <v>74</v>
      </c>
      <c r="F50" s="20"/>
      <c r="G50" s="20">
        <v>14</v>
      </c>
      <c r="H50" s="20">
        <v>40</v>
      </c>
      <c r="I50" s="20"/>
      <c r="J50" s="34">
        <v>6</v>
      </c>
      <c r="K50" s="25">
        <v>0</v>
      </c>
      <c r="L50" s="21">
        <v>11</v>
      </c>
      <c r="M50" s="35">
        <v>566</v>
      </c>
      <c r="N50" s="35"/>
      <c r="O50" s="24">
        <v>5.59</v>
      </c>
      <c r="P50" s="25">
        <v>1.33</v>
      </c>
      <c r="Q50" s="21">
        <v>22</v>
      </c>
      <c r="R50" s="20"/>
      <c r="S50" s="157">
        <f t="shared" si="0"/>
        <v>-0.43596057185937531</v>
      </c>
      <c r="T50" s="90">
        <v>-1</v>
      </c>
      <c r="U50" s="161">
        <f t="shared" si="1"/>
        <v>0.37454449245191274</v>
      </c>
      <c r="V50" s="174">
        <f t="shared" si="2"/>
        <v>0.36540926092869536</v>
      </c>
      <c r="W50" s="174">
        <f t="shared" si="3"/>
        <v>0.30075187969924821</v>
      </c>
      <c r="X50" s="28"/>
      <c r="Y50" s="31" t="s">
        <v>75</v>
      </c>
      <c r="Z50" s="32" t="s">
        <v>75</v>
      </c>
      <c r="AA50" s="32" t="s">
        <v>75</v>
      </c>
      <c r="AB50" s="32" t="s">
        <v>75</v>
      </c>
    </row>
    <row r="51" spans="1:28" ht="18.75" customHeight="1" x14ac:dyDescent="0.2">
      <c r="A51" s="8" t="s">
        <v>663</v>
      </c>
      <c r="B51" s="182" t="s">
        <v>27</v>
      </c>
      <c r="C51" s="20" t="s">
        <v>73</v>
      </c>
      <c r="D51" s="21">
        <v>1996</v>
      </c>
      <c r="E51" s="22" t="s">
        <v>54</v>
      </c>
      <c r="F51" s="20"/>
      <c r="G51" s="20">
        <v>14</v>
      </c>
      <c r="H51" s="20">
        <v>41</v>
      </c>
      <c r="I51" s="20"/>
      <c r="J51" s="34">
        <v>7.6</v>
      </c>
      <c r="K51" s="25">
        <v>4.29</v>
      </c>
      <c r="L51" s="21">
        <v>11</v>
      </c>
      <c r="M51" s="35">
        <v>566</v>
      </c>
      <c r="N51" s="35"/>
      <c r="O51" s="24">
        <v>9.68</v>
      </c>
      <c r="P51" s="25">
        <v>8.23</v>
      </c>
      <c r="Q51" s="21">
        <v>22</v>
      </c>
      <c r="R51" s="20"/>
      <c r="S51" s="157">
        <f t="shared" si="0"/>
        <v>0.31694467663120451</v>
      </c>
      <c r="T51" s="90">
        <v>1</v>
      </c>
      <c r="U51" s="161">
        <f t="shared" si="1"/>
        <v>0.28894356182945941</v>
      </c>
      <c r="V51" s="174">
        <f t="shared" si="2"/>
        <v>0.28189615788239941</v>
      </c>
      <c r="W51" s="174">
        <f t="shared" si="3"/>
        <v>0.24656965889221466</v>
      </c>
      <c r="X51" s="28"/>
      <c r="Y51" s="31" t="s">
        <v>75</v>
      </c>
      <c r="Z51" s="32" t="s">
        <v>75</v>
      </c>
      <c r="AA51" s="32" t="s">
        <v>75</v>
      </c>
      <c r="AB51" s="32" t="s">
        <v>75</v>
      </c>
    </row>
    <row r="52" spans="1:28" ht="18.75" customHeight="1" x14ac:dyDescent="0.2">
      <c r="A52" s="8" t="s">
        <v>663</v>
      </c>
      <c r="B52" s="182" t="s">
        <v>101</v>
      </c>
      <c r="C52" s="21" t="s">
        <v>78</v>
      </c>
      <c r="D52" s="21">
        <v>2020</v>
      </c>
      <c r="E52" s="22" t="s">
        <v>140</v>
      </c>
      <c r="F52" s="20"/>
      <c r="G52" s="21">
        <v>15</v>
      </c>
      <c r="H52" s="20">
        <v>49</v>
      </c>
      <c r="I52" s="20"/>
      <c r="J52" s="24">
        <v>18.100000000000001</v>
      </c>
      <c r="K52" s="25">
        <v>13.4</v>
      </c>
      <c r="L52" s="21">
        <v>16</v>
      </c>
      <c r="M52" s="35">
        <v>926.2</v>
      </c>
      <c r="N52" s="35"/>
      <c r="O52" s="24">
        <v>10.1</v>
      </c>
      <c r="P52" s="25">
        <v>6.5</v>
      </c>
      <c r="Q52" s="21">
        <v>17</v>
      </c>
      <c r="R52" s="21"/>
      <c r="S52" s="27">
        <f t="shared" si="0"/>
        <v>-0.7596515422967951</v>
      </c>
      <c r="T52" s="20">
        <v>1</v>
      </c>
      <c r="U52" s="180">
        <f t="shared" si="1"/>
        <v>-0.76735185645777193</v>
      </c>
      <c r="V52" s="23">
        <f t="shared" si="2"/>
        <v>-0.74863595751977752</v>
      </c>
      <c r="W52" s="23">
        <f t="shared" si="3"/>
        <v>-1.2007504690431523</v>
      </c>
      <c r="X52" s="21"/>
      <c r="Y52" s="21">
        <v>4</v>
      </c>
      <c r="Z52" s="8" t="s">
        <v>80</v>
      </c>
      <c r="AA52" s="42" t="s">
        <v>75</v>
      </c>
      <c r="AB52" s="8" t="s">
        <v>80</v>
      </c>
    </row>
    <row r="53" spans="1:28" ht="18.75" customHeight="1" x14ac:dyDescent="0.2">
      <c r="A53" s="8" t="s">
        <v>663</v>
      </c>
      <c r="B53" s="182" t="s">
        <v>101</v>
      </c>
      <c r="C53" s="47" t="s">
        <v>112</v>
      </c>
      <c r="D53" s="21">
        <v>1996</v>
      </c>
      <c r="E53" s="22" t="s">
        <v>113</v>
      </c>
      <c r="F53" s="96" t="s">
        <v>114</v>
      </c>
      <c r="G53" s="21">
        <v>16</v>
      </c>
      <c r="H53" s="20">
        <v>50</v>
      </c>
      <c r="I53" s="20"/>
      <c r="J53" s="24">
        <v>52.3</v>
      </c>
      <c r="K53" s="25">
        <v>8.14</v>
      </c>
      <c r="L53" s="21">
        <v>8</v>
      </c>
      <c r="M53" s="26">
        <v>1253.0999999999999</v>
      </c>
      <c r="N53" s="26"/>
      <c r="O53" s="24">
        <v>54</v>
      </c>
      <c r="P53" s="25">
        <v>6.12</v>
      </c>
      <c r="Q53" s="21">
        <v>8</v>
      </c>
      <c r="R53" s="21"/>
      <c r="S53" s="27">
        <f t="shared" si="0"/>
        <v>0.23607240642412908</v>
      </c>
      <c r="T53" s="20">
        <v>1</v>
      </c>
      <c r="U53" s="180">
        <f t="shared" si="1"/>
        <v>0.23607240642412908</v>
      </c>
      <c r="V53" s="23">
        <f t="shared" si="2"/>
        <v>0.22319572971008567</v>
      </c>
      <c r="W53" s="23">
        <f t="shared" si="3"/>
        <v>0.26262626262626304</v>
      </c>
      <c r="X53" s="28"/>
      <c r="Y53" s="48" t="s">
        <v>75</v>
      </c>
      <c r="Z53" s="42" t="s">
        <v>75</v>
      </c>
      <c r="AA53" s="8" t="s">
        <v>32</v>
      </c>
      <c r="AB53" s="42" t="s">
        <v>75</v>
      </c>
    </row>
    <row r="54" spans="1:28" ht="18.75" customHeight="1" x14ac:dyDescent="0.2">
      <c r="A54" s="8" t="s">
        <v>663</v>
      </c>
      <c r="B54" s="182" t="s">
        <v>146</v>
      </c>
      <c r="C54" s="20" t="s">
        <v>82</v>
      </c>
      <c r="D54" s="21">
        <v>2013</v>
      </c>
      <c r="E54" s="22" t="s">
        <v>164</v>
      </c>
      <c r="F54" s="20" t="s">
        <v>165</v>
      </c>
      <c r="G54" s="20">
        <v>17</v>
      </c>
      <c r="H54" s="20">
        <v>7</v>
      </c>
      <c r="I54" s="20"/>
      <c r="J54" s="24">
        <v>99.1</v>
      </c>
      <c r="K54" s="25">
        <v>14.9</v>
      </c>
      <c r="L54" s="21">
        <v>57</v>
      </c>
      <c r="M54" s="30">
        <f>(845.7+774.9)/2</f>
        <v>810.3</v>
      </c>
      <c r="N54" s="30"/>
      <c r="O54" s="24">
        <v>103.6</v>
      </c>
      <c r="P54" s="25">
        <v>13.6</v>
      </c>
      <c r="Q54" s="21">
        <v>46</v>
      </c>
      <c r="R54" s="21"/>
      <c r="S54" s="157">
        <f t="shared" si="0"/>
        <v>0.31546146331286101</v>
      </c>
      <c r="T54" s="90">
        <v>-1</v>
      </c>
      <c r="U54" s="161">
        <f t="shared" si="1"/>
        <v>-0.31390908175481508</v>
      </c>
      <c r="V54" s="174">
        <f t="shared" si="2"/>
        <v>-0.31157228958294303</v>
      </c>
      <c r="W54" s="174">
        <f t="shared" si="3"/>
        <v>-0.32841920887461684</v>
      </c>
      <c r="X54" s="28"/>
      <c r="Y54" s="31">
        <v>3</v>
      </c>
      <c r="Z54" s="32" t="s">
        <v>85</v>
      </c>
      <c r="AA54" s="42" t="s">
        <v>44</v>
      </c>
      <c r="AB54" s="32" t="s">
        <v>85</v>
      </c>
    </row>
    <row r="55" spans="1:28" s="159" customFormat="1" ht="18.75" customHeight="1" x14ac:dyDescent="0.2">
      <c r="B55" s="90"/>
      <c r="C55" s="187"/>
      <c r="D55" s="88"/>
      <c r="E55" s="152"/>
      <c r="F55" s="153"/>
      <c r="G55" s="88"/>
      <c r="H55" s="90"/>
      <c r="I55" s="90"/>
      <c r="J55" s="163"/>
      <c r="K55" s="155"/>
      <c r="L55" s="88"/>
      <c r="M55" s="89"/>
      <c r="N55" s="89"/>
      <c r="O55" s="163"/>
      <c r="P55" s="155"/>
      <c r="Q55" s="88"/>
      <c r="R55" s="88"/>
      <c r="S55" s="157"/>
      <c r="T55" s="90"/>
      <c r="U55" s="161"/>
      <c r="V55" s="174"/>
      <c r="W55" s="174"/>
      <c r="X55" s="222"/>
      <c r="Y55" s="156"/>
      <c r="Z55" s="158"/>
      <c r="AB55" s="158"/>
    </row>
    <row r="56" spans="1:28" ht="30.75" customHeight="1" x14ac:dyDescent="0.2">
      <c r="A56" s="8" t="s">
        <v>664</v>
      </c>
      <c r="B56" s="135" t="s">
        <v>514</v>
      </c>
      <c r="C56" s="20" t="s">
        <v>127</v>
      </c>
      <c r="D56" s="21">
        <v>2018</v>
      </c>
      <c r="E56" s="22" t="s">
        <v>361</v>
      </c>
      <c r="F56" s="20" t="s">
        <v>362</v>
      </c>
      <c r="G56" s="20">
        <v>1</v>
      </c>
      <c r="H56" s="20">
        <v>1</v>
      </c>
      <c r="I56" s="20"/>
      <c r="J56" s="24">
        <v>0.4</v>
      </c>
      <c r="K56" s="25">
        <v>2</v>
      </c>
      <c r="L56" s="21">
        <v>15</v>
      </c>
      <c r="M56" s="26">
        <v>751.2</v>
      </c>
      <c r="N56" s="26"/>
      <c r="O56" s="24">
        <v>0.2</v>
      </c>
      <c r="P56" s="25">
        <v>1.8</v>
      </c>
      <c r="Q56" s="21">
        <v>24</v>
      </c>
      <c r="R56" s="21"/>
      <c r="S56" s="27">
        <f t="shared" ref="S56:S74" si="4">(O56-J56)/SQRT((P56^2+K56^2)/2)</f>
        <v>-0.10511766624552735</v>
      </c>
      <c r="T56" s="20">
        <v>1</v>
      </c>
      <c r="U56" s="23">
        <f t="shared" ref="U56:U74" si="5">(O56-J56)/SQRT((((Q56-1)*P56^2) + ((L56-1)*K56^2))/(Q56+L56-2))*T56</f>
        <v>-0.10648595377424454</v>
      </c>
      <c r="V56" s="23">
        <f t="shared" ref="V56:V77" si="6">U56*(1-(3/(4*(L56+Q56-2) -1)))</f>
        <v>-0.10431277104415791</v>
      </c>
      <c r="W56" s="23">
        <f t="shared" ref="W56:W74" si="7">((O56-J56)/P56)*T56 * (1-(3/(4*(L56+Q56-2)-1)))</f>
        <v>-0.108843537414966</v>
      </c>
      <c r="X56" s="28"/>
      <c r="Y56" s="20">
        <v>1</v>
      </c>
      <c r="Z56" s="29" t="s">
        <v>63</v>
      </c>
      <c r="AA56" s="8" t="s">
        <v>32</v>
      </c>
      <c r="AB56" s="29" t="s">
        <v>48</v>
      </c>
    </row>
    <row r="57" spans="1:28" ht="18.75" customHeight="1" x14ac:dyDescent="0.2">
      <c r="A57" s="8" t="s">
        <v>664</v>
      </c>
      <c r="B57" s="135" t="s">
        <v>514</v>
      </c>
      <c r="C57" s="20" t="s">
        <v>127</v>
      </c>
      <c r="D57" s="21">
        <v>2018</v>
      </c>
      <c r="E57" s="22" t="s">
        <v>371</v>
      </c>
      <c r="F57" s="20" t="s">
        <v>372</v>
      </c>
      <c r="G57" s="20">
        <v>1</v>
      </c>
      <c r="H57" s="20">
        <v>2</v>
      </c>
      <c r="I57" s="20"/>
      <c r="J57" s="34">
        <v>2.1</v>
      </c>
      <c r="K57" s="45">
        <v>1.4</v>
      </c>
      <c r="L57" s="20">
        <v>33</v>
      </c>
      <c r="M57" s="26">
        <v>751.2</v>
      </c>
      <c r="N57" s="26"/>
      <c r="O57" s="34">
        <v>1.8</v>
      </c>
      <c r="P57" s="45">
        <v>1.7</v>
      </c>
      <c r="Q57" s="20">
        <v>32</v>
      </c>
      <c r="R57" s="20"/>
      <c r="S57" s="27">
        <f t="shared" si="4"/>
        <v>-0.1926483897203807</v>
      </c>
      <c r="T57" s="20">
        <v>1</v>
      </c>
      <c r="U57" s="23">
        <f t="shared" si="5"/>
        <v>-0.19294224183996631</v>
      </c>
      <c r="V57" s="23">
        <f t="shared" si="6"/>
        <v>-0.19063615926817387</v>
      </c>
      <c r="W57" s="23">
        <f t="shared" si="7"/>
        <v>-0.17436137801734244</v>
      </c>
      <c r="X57" s="28"/>
      <c r="Y57" s="20">
        <v>1</v>
      </c>
      <c r="Z57" s="29" t="s">
        <v>63</v>
      </c>
      <c r="AA57" s="8" t="s">
        <v>32</v>
      </c>
      <c r="AB57" s="29" t="s">
        <v>48</v>
      </c>
    </row>
    <row r="58" spans="1:28" ht="18.75" customHeight="1" x14ac:dyDescent="0.2">
      <c r="A58" s="8" t="s">
        <v>664</v>
      </c>
      <c r="B58" s="135" t="s">
        <v>173</v>
      </c>
      <c r="C58" s="20" t="s">
        <v>127</v>
      </c>
      <c r="D58" s="21">
        <v>2018</v>
      </c>
      <c r="E58" s="22" t="s">
        <v>176</v>
      </c>
      <c r="F58" s="20" t="s">
        <v>176</v>
      </c>
      <c r="G58" s="20">
        <v>1</v>
      </c>
      <c r="H58" s="20">
        <v>3</v>
      </c>
      <c r="I58" s="20"/>
      <c r="J58" s="34">
        <v>13.2</v>
      </c>
      <c r="K58" s="45">
        <v>2.5</v>
      </c>
      <c r="L58" s="20">
        <v>33</v>
      </c>
      <c r="M58" s="26">
        <v>751.2</v>
      </c>
      <c r="N58" s="26"/>
      <c r="O58" s="34">
        <v>14.2</v>
      </c>
      <c r="P58" s="45">
        <v>3</v>
      </c>
      <c r="Q58" s="20">
        <v>32</v>
      </c>
      <c r="R58" s="20"/>
      <c r="S58" s="27">
        <f t="shared" si="4"/>
        <v>0.36214298417007412</v>
      </c>
      <c r="T58" s="20">
        <v>-1</v>
      </c>
      <c r="U58" s="23">
        <f t="shared" si="5"/>
        <v>-0.362662388938708</v>
      </c>
      <c r="V58" s="23">
        <f t="shared" si="6"/>
        <v>-0.35832777871234894</v>
      </c>
      <c r="W58" s="23">
        <f t="shared" si="7"/>
        <v>-0.3293492695883134</v>
      </c>
      <c r="X58" s="28"/>
      <c r="Y58" s="20">
        <v>1</v>
      </c>
      <c r="Z58" s="29" t="s">
        <v>63</v>
      </c>
      <c r="AA58" s="8" t="s">
        <v>32</v>
      </c>
      <c r="AB58" s="29" t="s">
        <v>48</v>
      </c>
    </row>
    <row r="59" spans="1:28" ht="18.75" customHeight="1" x14ac:dyDescent="0.2">
      <c r="A59" s="8" t="s">
        <v>664</v>
      </c>
      <c r="B59" s="135" t="s">
        <v>173</v>
      </c>
      <c r="C59" s="20" t="s">
        <v>127</v>
      </c>
      <c r="D59" s="21">
        <v>2018</v>
      </c>
      <c r="E59" s="22" t="s">
        <v>177</v>
      </c>
      <c r="F59" s="20" t="s">
        <v>178</v>
      </c>
      <c r="G59" s="20">
        <v>1</v>
      </c>
      <c r="H59" s="20">
        <v>4</v>
      </c>
      <c r="I59" s="20"/>
      <c r="J59" s="34">
        <v>81.099999999999994</v>
      </c>
      <c r="K59" s="45">
        <v>21.2</v>
      </c>
      <c r="L59" s="20">
        <v>33</v>
      </c>
      <c r="M59" s="26">
        <v>751.2</v>
      </c>
      <c r="N59" s="26"/>
      <c r="O59" s="34">
        <v>86.7</v>
      </c>
      <c r="P59" s="45">
        <v>10.9</v>
      </c>
      <c r="Q59" s="20">
        <v>32</v>
      </c>
      <c r="R59" s="20"/>
      <c r="S59" s="27">
        <f t="shared" si="4"/>
        <v>0.33222575927430026</v>
      </c>
      <c r="T59" s="20">
        <v>-1</v>
      </c>
      <c r="U59" s="23">
        <f t="shared" si="5"/>
        <v>-0.33070216258014767</v>
      </c>
      <c r="V59" s="23">
        <f t="shared" si="6"/>
        <v>-0.3267495470911419</v>
      </c>
      <c r="W59" s="23">
        <f t="shared" si="7"/>
        <v>-0.50762089257648391</v>
      </c>
      <c r="X59" s="28"/>
      <c r="Y59" s="20">
        <v>1</v>
      </c>
      <c r="Z59" s="29" t="s">
        <v>63</v>
      </c>
      <c r="AA59" s="8" t="s">
        <v>32</v>
      </c>
      <c r="AB59" s="29" t="s">
        <v>48</v>
      </c>
    </row>
    <row r="60" spans="1:28" ht="18.75" customHeight="1" x14ac:dyDescent="0.2">
      <c r="A60" s="8" t="s">
        <v>664</v>
      </c>
      <c r="B60" s="135" t="s">
        <v>173</v>
      </c>
      <c r="C60" s="20" t="s">
        <v>127</v>
      </c>
      <c r="D60" s="21">
        <v>2018</v>
      </c>
      <c r="E60" s="22" t="s">
        <v>179</v>
      </c>
      <c r="F60" s="20" t="s">
        <v>180</v>
      </c>
      <c r="G60" s="20">
        <v>1</v>
      </c>
      <c r="H60" s="20">
        <v>5</v>
      </c>
      <c r="I60" s="20"/>
      <c r="J60" s="34">
        <v>87.7</v>
      </c>
      <c r="K60" s="45">
        <v>7.8</v>
      </c>
      <c r="L60" s="20">
        <v>33</v>
      </c>
      <c r="M60" s="26">
        <v>751.2</v>
      </c>
      <c r="N60" s="26"/>
      <c r="O60" s="34">
        <v>91.7</v>
      </c>
      <c r="P60" s="45">
        <v>4.5999999999999996</v>
      </c>
      <c r="Q60" s="20">
        <v>32</v>
      </c>
      <c r="R60" s="20"/>
      <c r="S60" s="27">
        <f t="shared" si="4"/>
        <v>0.62469504755442429</v>
      </c>
      <c r="T60" s="20">
        <v>-1</v>
      </c>
      <c r="U60" s="23">
        <f t="shared" si="5"/>
        <v>-0.62230964195273053</v>
      </c>
      <c r="V60" s="23">
        <f t="shared" si="6"/>
        <v>-0.6148716781046899</v>
      </c>
      <c r="W60" s="23">
        <f t="shared" si="7"/>
        <v>-0.85917200762168722</v>
      </c>
      <c r="X60" s="28"/>
      <c r="Y60" s="20">
        <v>1</v>
      </c>
      <c r="Z60" s="29" t="s">
        <v>63</v>
      </c>
      <c r="AA60" s="8" t="s">
        <v>32</v>
      </c>
      <c r="AB60" s="29" t="s">
        <v>48</v>
      </c>
    </row>
    <row r="61" spans="1:28" ht="18.75" customHeight="1" x14ac:dyDescent="0.2">
      <c r="A61" s="8" t="s">
        <v>664</v>
      </c>
      <c r="B61" s="135" t="s">
        <v>173</v>
      </c>
      <c r="C61" s="20" t="s">
        <v>127</v>
      </c>
      <c r="D61" s="21">
        <v>2018</v>
      </c>
      <c r="E61" s="22" t="s">
        <v>181</v>
      </c>
      <c r="F61" s="20" t="s">
        <v>182</v>
      </c>
      <c r="G61" s="20">
        <v>1</v>
      </c>
      <c r="H61" s="20">
        <v>6</v>
      </c>
      <c r="I61" s="20"/>
      <c r="J61" s="34">
        <v>0.6</v>
      </c>
      <c r="K61" s="45">
        <v>1.1000000000000001</v>
      </c>
      <c r="L61" s="20">
        <v>22</v>
      </c>
      <c r="M61" s="26">
        <v>751.2</v>
      </c>
      <c r="N61" s="26"/>
      <c r="O61" s="34">
        <v>0.3</v>
      </c>
      <c r="P61" s="45">
        <v>0.5</v>
      </c>
      <c r="Q61" s="20">
        <v>25</v>
      </c>
      <c r="R61" s="20"/>
      <c r="S61" s="27">
        <f t="shared" si="4"/>
        <v>-0.35112344158839165</v>
      </c>
      <c r="T61" s="20">
        <v>1</v>
      </c>
      <c r="U61" s="23">
        <f t="shared" si="5"/>
        <v>-0.35908192391184107</v>
      </c>
      <c r="V61" s="23">
        <f t="shared" si="6"/>
        <v>-0.35306379110884933</v>
      </c>
      <c r="W61" s="23">
        <f t="shared" si="7"/>
        <v>-0.58994413407821222</v>
      </c>
      <c r="X61" s="28"/>
      <c r="Y61" s="20">
        <v>1</v>
      </c>
      <c r="Z61" s="29" t="s">
        <v>63</v>
      </c>
      <c r="AA61" s="8" t="s">
        <v>32</v>
      </c>
      <c r="AB61" s="29" t="s">
        <v>48</v>
      </c>
    </row>
    <row r="62" spans="1:28" ht="18.75" customHeight="1" x14ac:dyDescent="0.2">
      <c r="A62" s="8" t="s">
        <v>664</v>
      </c>
      <c r="B62" s="135" t="s">
        <v>173</v>
      </c>
      <c r="C62" s="20" t="s">
        <v>127</v>
      </c>
      <c r="D62" s="21">
        <v>2018</v>
      </c>
      <c r="E62" s="22" t="s">
        <v>183</v>
      </c>
      <c r="F62" s="20" t="s">
        <v>184</v>
      </c>
      <c r="G62" s="20">
        <v>1</v>
      </c>
      <c r="H62" s="20">
        <v>7</v>
      </c>
      <c r="I62" s="20"/>
      <c r="J62" s="34">
        <v>0.2</v>
      </c>
      <c r="K62" s="45">
        <v>0.5</v>
      </c>
      <c r="L62" s="20">
        <v>22</v>
      </c>
      <c r="M62" s="26">
        <v>751.2</v>
      </c>
      <c r="N62" s="26"/>
      <c r="O62" s="34">
        <v>0.4</v>
      </c>
      <c r="P62" s="45">
        <v>0.8</v>
      </c>
      <c r="Q62" s="20">
        <v>25</v>
      </c>
      <c r="R62" s="20"/>
      <c r="S62" s="27">
        <f t="shared" si="4"/>
        <v>0.29981267559834457</v>
      </c>
      <c r="T62" s="20">
        <v>1</v>
      </c>
      <c r="U62" s="23">
        <f t="shared" si="5"/>
        <v>0.29552706228277081</v>
      </c>
      <c r="V62" s="23">
        <f t="shared" si="6"/>
        <v>0.29057409475847856</v>
      </c>
      <c r="W62" s="23">
        <f t="shared" si="7"/>
        <v>0.24581005586592178</v>
      </c>
      <c r="X62" s="28"/>
      <c r="Y62" s="20">
        <v>1</v>
      </c>
      <c r="Z62" s="29" t="s">
        <v>63</v>
      </c>
      <c r="AA62" s="8" t="s">
        <v>32</v>
      </c>
      <c r="AB62" s="29" t="s">
        <v>48</v>
      </c>
    </row>
    <row r="63" spans="1:28" ht="18.75" customHeight="1" x14ac:dyDescent="0.2">
      <c r="A63" s="8" t="s">
        <v>664</v>
      </c>
      <c r="B63" s="135" t="s">
        <v>173</v>
      </c>
      <c r="C63" s="20" t="s">
        <v>127</v>
      </c>
      <c r="D63" s="21">
        <v>2018</v>
      </c>
      <c r="E63" s="22" t="s">
        <v>185</v>
      </c>
      <c r="F63" s="20" t="s">
        <v>186</v>
      </c>
      <c r="G63" s="20">
        <v>1</v>
      </c>
      <c r="H63" s="20">
        <v>8</v>
      </c>
      <c r="I63" s="20"/>
      <c r="J63" s="34">
        <v>1.1000000000000001</v>
      </c>
      <c r="K63" s="45">
        <v>1.2</v>
      </c>
      <c r="L63" s="20">
        <v>22</v>
      </c>
      <c r="M63" s="26">
        <v>751.2</v>
      </c>
      <c r="N63" s="26"/>
      <c r="O63" s="34">
        <v>1.4</v>
      </c>
      <c r="P63" s="45">
        <v>1.9</v>
      </c>
      <c r="Q63" s="20">
        <v>25</v>
      </c>
      <c r="R63" s="20"/>
      <c r="S63" s="27">
        <f t="shared" si="4"/>
        <v>0.18879503265826567</v>
      </c>
      <c r="T63" s="20">
        <v>1</v>
      </c>
      <c r="U63" s="23">
        <f t="shared" si="5"/>
        <v>0.18614758667423173</v>
      </c>
      <c r="V63" s="23">
        <f t="shared" si="6"/>
        <v>0.18302779471879768</v>
      </c>
      <c r="W63" s="23">
        <f t="shared" si="7"/>
        <v>0.15524845633637155</v>
      </c>
      <c r="X63" s="28"/>
      <c r="Y63" s="20">
        <v>1</v>
      </c>
      <c r="Z63" s="29" t="s">
        <v>63</v>
      </c>
      <c r="AA63" s="8" t="s">
        <v>32</v>
      </c>
      <c r="AB63" s="29" t="s">
        <v>48</v>
      </c>
    </row>
    <row r="64" spans="1:28" ht="18.75" customHeight="1" x14ac:dyDescent="0.2">
      <c r="A64" s="8" t="s">
        <v>664</v>
      </c>
      <c r="B64" s="135" t="s">
        <v>173</v>
      </c>
      <c r="C64" s="20" t="s">
        <v>127</v>
      </c>
      <c r="D64" s="21">
        <v>2018</v>
      </c>
      <c r="E64" s="22" t="s">
        <v>187</v>
      </c>
      <c r="F64" s="20" t="s">
        <v>188</v>
      </c>
      <c r="G64" s="20">
        <v>1</v>
      </c>
      <c r="H64" s="20">
        <v>9</v>
      </c>
      <c r="I64" s="20"/>
      <c r="J64" s="34">
        <v>1.1000000000000001</v>
      </c>
      <c r="K64" s="45">
        <v>1.7</v>
      </c>
      <c r="L64" s="20">
        <v>22</v>
      </c>
      <c r="M64" s="26">
        <v>751.2</v>
      </c>
      <c r="N64" s="26"/>
      <c r="O64" s="34">
        <v>2.2999999999999998</v>
      </c>
      <c r="P64" s="45">
        <v>3.1</v>
      </c>
      <c r="Q64" s="20">
        <v>25</v>
      </c>
      <c r="R64" s="20"/>
      <c r="S64" s="27">
        <f t="shared" si="4"/>
        <v>0.47999999999999987</v>
      </c>
      <c r="T64" s="20">
        <v>1</v>
      </c>
      <c r="U64" s="23">
        <f t="shared" si="5"/>
        <v>0.47162291529929184</v>
      </c>
      <c r="V64" s="23">
        <f t="shared" si="6"/>
        <v>0.46371862062947128</v>
      </c>
      <c r="W64" s="23">
        <f t="shared" si="7"/>
        <v>0.38060911876013681</v>
      </c>
      <c r="X64" s="28"/>
      <c r="Y64" s="20">
        <v>1</v>
      </c>
      <c r="Z64" s="29" t="s">
        <v>63</v>
      </c>
      <c r="AA64" s="8" t="s">
        <v>32</v>
      </c>
      <c r="AB64" s="29" t="s">
        <v>48</v>
      </c>
    </row>
    <row r="65" spans="1:28" ht="18.75" customHeight="1" x14ac:dyDescent="0.2">
      <c r="A65" s="8" t="s">
        <v>664</v>
      </c>
      <c r="B65" s="135" t="s">
        <v>173</v>
      </c>
      <c r="C65" s="20" t="s">
        <v>127</v>
      </c>
      <c r="D65" s="21">
        <v>2018</v>
      </c>
      <c r="E65" s="22" t="s">
        <v>191</v>
      </c>
      <c r="F65" s="20" t="s">
        <v>192</v>
      </c>
      <c r="G65" s="20">
        <v>1</v>
      </c>
      <c r="H65" s="20">
        <v>10</v>
      </c>
      <c r="I65" s="20"/>
      <c r="J65" s="34">
        <v>2</v>
      </c>
      <c r="K65" s="45">
        <v>1.3</v>
      </c>
      <c r="L65" s="20">
        <v>22</v>
      </c>
      <c r="M65" s="26">
        <v>751.2</v>
      </c>
      <c r="N65" s="26"/>
      <c r="O65" s="34">
        <v>2.2000000000000002</v>
      </c>
      <c r="P65" s="45">
        <v>1.6</v>
      </c>
      <c r="Q65" s="20">
        <v>25</v>
      </c>
      <c r="R65" s="20"/>
      <c r="S65" s="27">
        <f t="shared" si="4"/>
        <v>0.13719886811400719</v>
      </c>
      <c r="T65" s="20">
        <v>1</v>
      </c>
      <c r="U65" s="23">
        <f t="shared" si="5"/>
        <v>0.13627216199782616</v>
      </c>
      <c r="V65" s="23">
        <f t="shared" si="6"/>
        <v>0.13398827101462235</v>
      </c>
      <c r="W65" s="23">
        <f t="shared" si="7"/>
        <v>0.122905027932961</v>
      </c>
      <c r="X65" s="28"/>
      <c r="Y65" s="20">
        <v>1</v>
      </c>
      <c r="Z65" s="29" t="s">
        <v>63</v>
      </c>
      <c r="AA65" s="8" t="s">
        <v>32</v>
      </c>
      <c r="AB65" s="29" t="s">
        <v>48</v>
      </c>
    </row>
    <row r="66" spans="1:28" ht="18.75" customHeight="1" x14ac:dyDescent="0.2">
      <c r="A66" s="8" t="s">
        <v>664</v>
      </c>
      <c r="B66" s="135" t="s">
        <v>173</v>
      </c>
      <c r="C66" s="20" t="s">
        <v>127</v>
      </c>
      <c r="D66" s="21">
        <v>2018</v>
      </c>
      <c r="E66" s="22" t="s">
        <v>195</v>
      </c>
      <c r="F66" s="20" t="s">
        <v>196</v>
      </c>
      <c r="G66" s="20">
        <v>1</v>
      </c>
      <c r="H66" s="20">
        <v>11</v>
      </c>
      <c r="I66" s="20"/>
      <c r="J66" s="34">
        <v>1.3</v>
      </c>
      <c r="K66" s="45">
        <v>1.2</v>
      </c>
      <c r="L66" s="20">
        <v>22</v>
      </c>
      <c r="M66" s="26">
        <v>751.2</v>
      </c>
      <c r="N66" s="26"/>
      <c r="O66" s="34">
        <v>1.2</v>
      </c>
      <c r="P66" s="45">
        <v>1.2</v>
      </c>
      <c r="Q66" s="20">
        <v>25</v>
      </c>
      <c r="R66" s="20"/>
      <c r="S66" s="27">
        <f t="shared" si="4"/>
        <v>-8.3333333333333412E-2</v>
      </c>
      <c r="T66" s="20">
        <v>1</v>
      </c>
      <c r="U66" s="23">
        <f t="shared" si="5"/>
        <v>-8.3333333333333412E-2</v>
      </c>
      <c r="V66" s="23">
        <f t="shared" si="6"/>
        <v>-8.1936685288640676E-2</v>
      </c>
      <c r="W66" s="23">
        <f t="shared" si="7"/>
        <v>-8.1936685288640676E-2</v>
      </c>
      <c r="X66" s="28"/>
      <c r="Y66" s="20">
        <v>1</v>
      </c>
      <c r="Z66" s="29" t="s">
        <v>63</v>
      </c>
      <c r="AA66" s="8" t="s">
        <v>32</v>
      </c>
      <c r="AB66" s="29" t="s">
        <v>48</v>
      </c>
    </row>
    <row r="67" spans="1:28" ht="18.75" customHeight="1" x14ac:dyDescent="0.2">
      <c r="A67" s="8" t="s">
        <v>664</v>
      </c>
      <c r="B67" s="135" t="s">
        <v>514</v>
      </c>
      <c r="C67" s="20" t="s">
        <v>60</v>
      </c>
      <c r="D67" s="21">
        <v>2017</v>
      </c>
      <c r="E67" s="22" t="s">
        <v>363</v>
      </c>
      <c r="F67" s="20" t="s">
        <v>364</v>
      </c>
      <c r="G67" s="20">
        <v>1</v>
      </c>
      <c r="H67" s="20">
        <v>12</v>
      </c>
      <c r="I67" s="20"/>
      <c r="J67" s="24">
        <v>8.5</v>
      </c>
      <c r="K67" s="25">
        <v>11</v>
      </c>
      <c r="L67" s="21">
        <v>37</v>
      </c>
      <c r="M67" s="26">
        <v>720</v>
      </c>
      <c r="N67" s="26"/>
      <c r="O67" s="24">
        <v>7.1</v>
      </c>
      <c r="P67" s="25">
        <v>5.0999999999999996</v>
      </c>
      <c r="Q67" s="21">
        <v>30</v>
      </c>
      <c r="R67" s="21"/>
      <c r="S67" s="27">
        <f t="shared" si="4"/>
        <v>-0.16329376207040713</v>
      </c>
      <c r="T67" s="20">
        <v>1</v>
      </c>
      <c r="U67" s="23">
        <f t="shared" si="5"/>
        <v>-0.15789265983573214</v>
      </c>
      <c r="V67" s="23">
        <f t="shared" si="6"/>
        <v>-0.15606378732798235</v>
      </c>
      <c r="W67" s="23">
        <f t="shared" si="7"/>
        <v>-0.27133015368309493</v>
      </c>
      <c r="X67" s="28"/>
      <c r="Y67" s="20">
        <v>1</v>
      </c>
      <c r="Z67" s="29" t="s">
        <v>63</v>
      </c>
      <c r="AA67" s="8" t="s">
        <v>32</v>
      </c>
      <c r="AB67" s="29" t="s">
        <v>48</v>
      </c>
    </row>
    <row r="68" spans="1:28" ht="18.75" customHeight="1" x14ac:dyDescent="0.2">
      <c r="A68" s="8" t="s">
        <v>664</v>
      </c>
      <c r="B68" s="135" t="s">
        <v>514</v>
      </c>
      <c r="C68" s="20" t="s">
        <v>60</v>
      </c>
      <c r="D68" s="21">
        <v>2017</v>
      </c>
      <c r="E68" s="22" t="s">
        <v>365</v>
      </c>
      <c r="F68" s="20" t="s">
        <v>366</v>
      </c>
      <c r="G68" s="20">
        <v>1</v>
      </c>
      <c r="H68" s="20">
        <v>13</v>
      </c>
      <c r="I68" s="20"/>
      <c r="J68" s="24">
        <v>0.1</v>
      </c>
      <c r="K68" s="25">
        <v>0.2</v>
      </c>
      <c r="L68" s="21">
        <v>37</v>
      </c>
      <c r="M68" s="26">
        <v>720</v>
      </c>
      <c r="N68" s="26"/>
      <c r="O68" s="24">
        <v>0.1</v>
      </c>
      <c r="P68" s="25">
        <v>0.2</v>
      </c>
      <c r="Q68" s="21">
        <v>30</v>
      </c>
      <c r="R68" s="21"/>
      <c r="S68" s="27">
        <f t="shared" si="4"/>
        <v>0</v>
      </c>
      <c r="T68" s="20">
        <v>1</v>
      </c>
      <c r="U68" s="23">
        <f t="shared" si="5"/>
        <v>0</v>
      </c>
      <c r="V68" s="23">
        <f t="shared" si="6"/>
        <v>0</v>
      </c>
      <c r="W68" s="23">
        <f t="shared" si="7"/>
        <v>0</v>
      </c>
      <c r="X68" s="28"/>
      <c r="Y68" s="20">
        <v>1</v>
      </c>
      <c r="Z68" s="29" t="s">
        <v>63</v>
      </c>
      <c r="AA68" s="8" t="s">
        <v>32</v>
      </c>
      <c r="AB68" s="29" t="s">
        <v>48</v>
      </c>
    </row>
    <row r="69" spans="1:28" ht="18.75" customHeight="1" x14ac:dyDescent="0.2">
      <c r="A69" s="8" t="s">
        <v>664</v>
      </c>
      <c r="B69" s="135" t="s">
        <v>514</v>
      </c>
      <c r="C69" s="20" t="s">
        <v>60</v>
      </c>
      <c r="D69" s="21">
        <v>2017</v>
      </c>
      <c r="E69" s="22" t="s">
        <v>367</v>
      </c>
      <c r="F69" s="20" t="s">
        <v>368</v>
      </c>
      <c r="G69" s="20">
        <v>1</v>
      </c>
      <c r="H69" s="20">
        <v>14</v>
      </c>
      <c r="I69" s="20"/>
      <c r="J69" s="24">
        <v>0.7</v>
      </c>
      <c r="K69" s="25">
        <v>1</v>
      </c>
      <c r="L69" s="21">
        <v>37</v>
      </c>
      <c r="M69" s="26">
        <v>720</v>
      </c>
      <c r="N69" s="26"/>
      <c r="O69" s="24">
        <v>0.6</v>
      </c>
      <c r="P69" s="25">
        <v>0.8</v>
      </c>
      <c r="Q69" s="21">
        <v>30</v>
      </c>
      <c r="R69" s="21"/>
      <c r="S69" s="27">
        <f t="shared" si="4"/>
        <v>-0.11043152607484651</v>
      </c>
      <c r="T69" s="20">
        <v>1</v>
      </c>
      <c r="U69" s="23">
        <f t="shared" si="5"/>
        <v>-0.10914893373767046</v>
      </c>
      <c r="V69" s="23">
        <f t="shared" si="6"/>
        <v>-0.10788466037391366</v>
      </c>
      <c r="W69" s="23">
        <f t="shared" si="7"/>
        <v>-0.12355212355212353</v>
      </c>
      <c r="X69" s="28"/>
      <c r="Y69" s="20">
        <v>1</v>
      </c>
      <c r="Z69" s="29" t="s">
        <v>63</v>
      </c>
      <c r="AA69" s="8" t="s">
        <v>32</v>
      </c>
      <c r="AB69" s="29" t="s">
        <v>48</v>
      </c>
    </row>
    <row r="70" spans="1:28" ht="18.75" customHeight="1" x14ac:dyDescent="0.2">
      <c r="A70" s="8" t="s">
        <v>664</v>
      </c>
      <c r="B70" s="135" t="s">
        <v>514</v>
      </c>
      <c r="C70" s="20" t="s">
        <v>60</v>
      </c>
      <c r="D70" s="21">
        <v>2017</v>
      </c>
      <c r="E70" s="22" t="s">
        <v>369</v>
      </c>
      <c r="F70" s="20" t="s">
        <v>370</v>
      </c>
      <c r="G70" s="20">
        <v>1</v>
      </c>
      <c r="H70" s="20">
        <v>15</v>
      </c>
      <c r="I70" s="20"/>
      <c r="J70" s="24">
        <v>7.9</v>
      </c>
      <c r="K70" s="25">
        <v>10.8</v>
      </c>
      <c r="L70" s="21">
        <v>37</v>
      </c>
      <c r="M70" s="26">
        <v>720</v>
      </c>
      <c r="N70" s="26"/>
      <c r="O70" s="24">
        <v>5.8</v>
      </c>
      <c r="P70" s="25">
        <v>5.7</v>
      </c>
      <c r="Q70" s="21">
        <v>30</v>
      </c>
      <c r="R70" s="21"/>
      <c r="S70" s="27">
        <f t="shared" si="4"/>
        <v>-0.24319339952292043</v>
      </c>
      <c r="T70" s="20">
        <v>1</v>
      </c>
      <c r="U70" s="174">
        <f t="shared" si="5"/>
        <v>-0.23612480474013478</v>
      </c>
      <c r="V70" s="174">
        <f t="shared" si="6"/>
        <v>-0.23338976839179346</v>
      </c>
      <c r="W70" s="174">
        <f t="shared" si="7"/>
        <v>-0.36415362731152212</v>
      </c>
      <c r="X70" s="222"/>
      <c r="Y70" s="90">
        <v>1</v>
      </c>
      <c r="Z70" s="29" t="s">
        <v>63</v>
      </c>
      <c r="AA70" s="8" t="s">
        <v>32</v>
      </c>
      <c r="AB70" s="29" t="s">
        <v>48</v>
      </c>
    </row>
    <row r="71" spans="1:28" ht="18.75" customHeight="1" x14ac:dyDescent="0.2">
      <c r="A71" s="8" t="s">
        <v>664</v>
      </c>
      <c r="B71" s="135" t="s">
        <v>373</v>
      </c>
      <c r="C71" s="20" t="s">
        <v>60</v>
      </c>
      <c r="D71" s="21">
        <v>2017</v>
      </c>
      <c r="E71" s="22" t="s">
        <v>374</v>
      </c>
      <c r="F71" s="20" t="s">
        <v>375</v>
      </c>
      <c r="G71" s="20">
        <v>1</v>
      </c>
      <c r="H71" s="20">
        <v>16</v>
      </c>
      <c r="I71" s="20"/>
      <c r="J71" s="24">
        <v>3.9</v>
      </c>
      <c r="K71" s="25">
        <v>4.7</v>
      </c>
      <c r="L71" s="21">
        <v>37</v>
      </c>
      <c r="M71" s="26">
        <v>720</v>
      </c>
      <c r="N71" s="26"/>
      <c r="O71" s="24">
        <v>4.8</v>
      </c>
      <c r="P71" s="25">
        <v>5.7</v>
      </c>
      <c r="Q71" s="21">
        <v>30</v>
      </c>
      <c r="R71" s="21"/>
      <c r="S71" s="27">
        <f t="shared" si="4"/>
        <v>0.172282331959664</v>
      </c>
      <c r="T71" s="20">
        <v>1</v>
      </c>
      <c r="U71" s="174">
        <f t="shared" si="5"/>
        <v>0.1740776559556978</v>
      </c>
      <c r="V71" s="174">
        <f t="shared" si="6"/>
        <v>0.17206131245041945</v>
      </c>
      <c r="W71" s="174">
        <f t="shared" si="7"/>
        <v>0.15606584027636658</v>
      </c>
      <c r="X71" s="222"/>
      <c r="Y71" s="90">
        <v>1</v>
      </c>
      <c r="Z71" s="29" t="s">
        <v>63</v>
      </c>
      <c r="AA71" s="8" t="s">
        <v>32</v>
      </c>
      <c r="AB71" s="29" t="s">
        <v>48</v>
      </c>
    </row>
    <row r="72" spans="1:28" ht="18.75" customHeight="1" x14ac:dyDescent="0.2">
      <c r="A72" s="8" t="s">
        <v>664</v>
      </c>
      <c r="B72" s="135" t="s">
        <v>373</v>
      </c>
      <c r="C72" s="20" t="s">
        <v>60</v>
      </c>
      <c r="D72" s="21">
        <v>2017</v>
      </c>
      <c r="E72" s="22" t="s">
        <v>376</v>
      </c>
      <c r="F72" s="20" t="s">
        <v>377</v>
      </c>
      <c r="G72" s="20">
        <v>1</v>
      </c>
      <c r="H72" s="20">
        <v>17</v>
      </c>
      <c r="I72" s="20"/>
      <c r="J72" s="24">
        <v>13.3</v>
      </c>
      <c r="K72" s="25">
        <v>8.1999999999999993</v>
      </c>
      <c r="L72" s="21">
        <v>37</v>
      </c>
      <c r="M72" s="26">
        <v>720</v>
      </c>
      <c r="N72" s="26"/>
      <c r="O72" s="24">
        <v>11.9</v>
      </c>
      <c r="P72" s="25">
        <v>7.6</v>
      </c>
      <c r="Q72" s="21">
        <v>30</v>
      </c>
      <c r="R72" s="21"/>
      <c r="S72" s="27">
        <f t="shared" si="4"/>
        <v>-0.1770875489694293</v>
      </c>
      <c r="T72" s="20">
        <v>1</v>
      </c>
      <c r="U72" s="174">
        <f t="shared" si="5"/>
        <v>-0.17636877778397697</v>
      </c>
      <c r="V72" s="174">
        <f t="shared" si="6"/>
        <v>-0.17432589618802358</v>
      </c>
      <c r="W72" s="174">
        <f t="shared" si="7"/>
        <v>-0.18207681365576106</v>
      </c>
      <c r="X72" s="222"/>
      <c r="Y72" s="90">
        <v>1</v>
      </c>
      <c r="Z72" s="29" t="s">
        <v>63</v>
      </c>
      <c r="AA72" s="8" t="s">
        <v>32</v>
      </c>
      <c r="AB72" s="29" t="s">
        <v>48</v>
      </c>
    </row>
    <row r="73" spans="1:28" ht="18.75" customHeight="1" x14ac:dyDescent="0.2">
      <c r="A73" s="8" t="s">
        <v>664</v>
      </c>
      <c r="B73" s="135" t="s">
        <v>173</v>
      </c>
      <c r="C73" s="20" t="s">
        <v>60</v>
      </c>
      <c r="D73" s="21">
        <v>2017</v>
      </c>
      <c r="E73" s="22" t="s">
        <v>199</v>
      </c>
      <c r="F73" s="20" t="s">
        <v>200</v>
      </c>
      <c r="G73" s="20">
        <v>1</v>
      </c>
      <c r="H73" s="20">
        <v>18</v>
      </c>
      <c r="I73" s="20"/>
      <c r="J73" s="34">
        <v>58.4</v>
      </c>
      <c r="K73" s="45">
        <v>8.6999999999999993</v>
      </c>
      <c r="L73" s="20">
        <v>37</v>
      </c>
      <c r="M73" s="26">
        <v>720</v>
      </c>
      <c r="N73" s="26"/>
      <c r="O73" s="34">
        <v>64.2</v>
      </c>
      <c r="P73" s="45">
        <v>7.2</v>
      </c>
      <c r="Q73" s="20">
        <v>30</v>
      </c>
      <c r="R73" s="20"/>
      <c r="S73" s="27">
        <f t="shared" si="4"/>
        <v>0.72633473153983363</v>
      </c>
      <c r="T73" s="20">
        <v>-1</v>
      </c>
      <c r="U73" s="23">
        <f t="shared" si="5"/>
        <v>-0.71912917922028208</v>
      </c>
      <c r="V73" s="23">
        <f t="shared" si="6"/>
        <v>-0.7107994976076919</v>
      </c>
      <c r="W73" s="23">
        <f t="shared" si="7"/>
        <v>-0.7962247962247968</v>
      </c>
      <c r="X73" s="28"/>
      <c r="Y73" s="20">
        <v>1</v>
      </c>
      <c r="Z73" s="29" t="s">
        <v>63</v>
      </c>
      <c r="AA73" s="8" t="s">
        <v>32</v>
      </c>
      <c r="AB73" s="29" t="s">
        <v>48</v>
      </c>
    </row>
    <row r="74" spans="1:28" ht="18.75" customHeight="1" x14ac:dyDescent="0.2">
      <c r="A74" s="8" t="s">
        <v>664</v>
      </c>
      <c r="B74" s="135" t="s">
        <v>173</v>
      </c>
      <c r="C74" s="20" t="s">
        <v>60</v>
      </c>
      <c r="D74" s="21">
        <v>2017</v>
      </c>
      <c r="E74" s="22" t="s">
        <v>201</v>
      </c>
      <c r="F74" s="20" t="s">
        <v>202</v>
      </c>
      <c r="G74" s="20">
        <v>1</v>
      </c>
      <c r="H74" s="20">
        <v>19</v>
      </c>
      <c r="I74" s="20"/>
      <c r="J74" s="34">
        <v>36</v>
      </c>
      <c r="K74" s="45">
        <v>5.8</v>
      </c>
      <c r="L74" s="20">
        <v>37</v>
      </c>
      <c r="M74" s="26">
        <v>720</v>
      </c>
      <c r="N74" s="26"/>
      <c r="O74" s="34">
        <v>39.200000000000003</v>
      </c>
      <c r="P74" s="45">
        <v>3.6</v>
      </c>
      <c r="Q74" s="20">
        <v>30</v>
      </c>
      <c r="R74" s="20"/>
      <c r="S74" s="27">
        <f t="shared" si="4"/>
        <v>0.66293663237203393</v>
      </c>
      <c r="T74" s="20">
        <v>-1</v>
      </c>
      <c r="U74" s="23">
        <f t="shared" si="5"/>
        <v>-0.64764141552672927</v>
      </c>
      <c r="V74" s="23">
        <f t="shared" si="6"/>
        <v>-0.64013977750904516</v>
      </c>
      <c r="W74" s="23">
        <f t="shared" si="7"/>
        <v>-0.87859287859287938</v>
      </c>
      <c r="X74" s="28"/>
      <c r="Y74" s="20">
        <v>1</v>
      </c>
      <c r="Z74" s="29" t="s">
        <v>63</v>
      </c>
      <c r="AA74" s="8" t="s">
        <v>32</v>
      </c>
      <c r="AB74" s="29" t="s">
        <v>48</v>
      </c>
    </row>
    <row r="75" spans="1:28" ht="18.75" customHeight="1" x14ac:dyDescent="0.2">
      <c r="A75" s="8" t="s">
        <v>664</v>
      </c>
      <c r="B75" s="135" t="s">
        <v>514</v>
      </c>
      <c r="C75" s="20" t="s">
        <v>509</v>
      </c>
      <c r="D75" s="21">
        <v>2021</v>
      </c>
      <c r="E75" s="22" t="s">
        <v>515</v>
      </c>
      <c r="F75" s="20"/>
      <c r="G75" s="20">
        <v>2</v>
      </c>
      <c r="H75" s="20">
        <v>20</v>
      </c>
      <c r="I75" s="20"/>
      <c r="J75" s="34">
        <v>36</v>
      </c>
      <c r="K75" s="45">
        <v>0</v>
      </c>
      <c r="L75" s="20">
        <v>19</v>
      </c>
      <c r="M75" s="26">
        <v>890</v>
      </c>
      <c r="N75" s="26"/>
      <c r="O75" s="34">
        <v>36</v>
      </c>
      <c r="P75" s="45">
        <v>0</v>
      </c>
      <c r="Q75" s="20">
        <v>25</v>
      </c>
      <c r="R75" s="20"/>
      <c r="S75" s="27">
        <v>0</v>
      </c>
      <c r="T75" s="20">
        <v>-1</v>
      </c>
      <c r="U75" s="174">
        <v>0</v>
      </c>
      <c r="V75" s="174">
        <f t="shared" si="6"/>
        <v>0</v>
      </c>
      <c r="W75" s="174">
        <v>0</v>
      </c>
      <c r="X75" s="222"/>
      <c r="Y75" s="90">
        <v>2</v>
      </c>
      <c r="AB75" s="29"/>
    </row>
    <row r="76" spans="1:28" ht="18.75" customHeight="1" x14ac:dyDescent="0.2">
      <c r="A76" s="8" t="s">
        <v>664</v>
      </c>
      <c r="B76" s="135" t="s">
        <v>514</v>
      </c>
      <c r="C76" s="20" t="s">
        <v>509</v>
      </c>
      <c r="D76" s="21">
        <v>2021</v>
      </c>
      <c r="E76" s="22" t="s">
        <v>516</v>
      </c>
      <c r="F76" s="20"/>
      <c r="G76" s="20">
        <v>2</v>
      </c>
      <c r="H76" s="20">
        <v>21</v>
      </c>
      <c r="I76" s="20"/>
      <c r="J76" s="34">
        <v>15</v>
      </c>
      <c r="K76" s="45">
        <f>(15-14)/4</f>
        <v>0.25</v>
      </c>
      <c r="L76" s="20">
        <v>19</v>
      </c>
      <c r="M76" s="26">
        <v>890</v>
      </c>
      <c r="N76" s="26"/>
      <c r="O76" s="34">
        <v>15</v>
      </c>
      <c r="P76" s="45">
        <v>0</v>
      </c>
      <c r="Q76" s="20">
        <v>25</v>
      </c>
      <c r="R76" s="20"/>
      <c r="S76" s="27">
        <f>(O76-J76)/SQRT((P76^2+K76^2)/2)</f>
        <v>0</v>
      </c>
      <c r="T76" s="20">
        <v>-1</v>
      </c>
      <c r="U76" s="174">
        <f>(O76-J76)/SQRT((((Q76-1)*P76^2) + ((L76-1)*K76^2))/(Q76+L76-2))*T76</f>
        <v>0</v>
      </c>
      <c r="V76" s="174">
        <f t="shared" si="6"/>
        <v>0</v>
      </c>
      <c r="W76" s="174">
        <v>0</v>
      </c>
      <c r="X76" s="222"/>
      <c r="Y76" s="90">
        <v>2</v>
      </c>
      <c r="AB76" s="29"/>
    </row>
    <row r="77" spans="1:28" ht="18.75" customHeight="1" x14ac:dyDescent="0.2">
      <c r="A77" s="8" t="s">
        <v>664</v>
      </c>
      <c r="B77" s="135" t="s">
        <v>514</v>
      </c>
      <c r="C77" s="20" t="s">
        <v>509</v>
      </c>
      <c r="D77" s="21">
        <v>2021</v>
      </c>
      <c r="E77" s="22" t="s">
        <v>517</v>
      </c>
      <c r="F77" s="20"/>
      <c r="G77" s="20">
        <v>2</v>
      </c>
      <c r="H77" s="20">
        <v>22</v>
      </c>
      <c r="I77" s="20"/>
      <c r="J77" s="34">
        <v>33</v>
      </c>
      <c r="K77" s="45">
        <f>(36-30)/1.35</f>
        <v>4.4444444444444438</v>
      </c>
      <c r="L77" s="20">
        <v>19</v>
      </c>
      <c r="M77" s="26">
        <v>890</v>
      </c>
      <c r="N77" s="26"/>
      <c r="O77" s="34">
        <v>35</v>
      </c>
      <c r="P77" s="45">
        <f>(35-33)/1.35</f>
        <v>1.4814814814814814</v>
      </c>
      <c r="Q77" s="20">
        <v>25</v>
      </c>
      <c r="R77" s="20"/>
      <c r="S77" s="27">
        <f>(O77-J77)/SQRT((P77^2+K77^2)/2)</f>
        <v>0.60373835392494324</v>
      </c>
      <c r="T77" s="20">
        <v>-1</v>
      </c>
      <c r="U77" s="174">
        <f>(O77-J77)/SQRT((((Q77-1)*P77^2) + ((L77-1)*K77^2))/(Q77+L77-2))*T77</f>
        <v>-0.64150780047051359</v>
      </c>
      <c r="V77" s="174">
        <f t="shared" si="6"/>
        <v>-0.62998370824649241</v>
      </c>
      <c r="W77" s="174">
        <f>((O77-J77)/P77)*T77 * (1-(3/(4*(L77+Q77-2)-1)))</f>
        <v>-1.3257485029940119</v>
      </c>
      <c r="X77" s="222"/>
      <c r="Y77" s="90">
        <v>2</v>
      </c>
      <c r="AB77" s="29"/>
    </row>
  </sheetData>
  <sortState xmlns:xlrd2="http://schemas.microsoft.com/office/spreadsheetml/2017/richdata2" ref="A56:BC77">
    <sortCondition ref="C56:C77"/>
  </sortState>
  <mergeCells count="4">
    <mergeCell ref="B2:D2"/>
    <mergeCell ref="J3:L3"/>
    <mergeCell ref="O3:Q3"/>
    <mergeCell ref="S3:W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C5B8-EB27-E346-83B8-59AAD674278B}">
  <dimension ref="A1:BC82"/>
  <sheetViews>
    <sheetView topLeftCell="A30" zoomScale="130" zoomScaleNormal="130" workbookViewId="0">
      <selection activeCell="B3" sqref="B3"/>
    </sheetView>
  </sheetViews>
  <sheetFormatPr defaultColWidth="27" defaultRowHeight="12.75" x14ac:dyDescent="0.2"/>
  <cols>
    <col min="1" max="1" width="19.85546875" style="8" customWidth="1"/>
    <col min="2" max="2" width="25.42578125" style="8" customWidth="1"/>
    <col min="3" max="3" width="26.42578125" style="8" customWidth="1"/>
    <col min="4" max="4" width="6.7109375" style="8" customWidth="1"/>
    <col min="5" max="5" width="15.7109375" style="8" customWidth="1"/>
    <col min="6" max="6" width="37.42578125" style="133" customWidth="1"/>
    <col min="7" max="7" width="31" style="29" customWidth="1"/>
    <col min="8" max="8" width="8.42578125" style="8" customWidth="1"/>
    <col min="9" max="9" width="7.42578125" style="8" customWidth="1"/>
    <col min="10" max="10" width="3.7109375" style="8" customWidth="1"/>
    <col min="11" max="11" width="6.7109375" style="8" customWidth="1"/>
    <col min="12" max="12" width="8" style="62" customWidth="1"/>
    <col min="13" max="13" width="7.7109375" style="8" customWidth="1"/>
    <col min="14" max="14" width="9.42578125" style="224" customWidth="1"/>
    <col min="15" max="15" width="1.140625" style="29" customWidth="1"/>
    <col min="16" max="16" width="8.42578125" style="8" customWidth="1"/>
    <col min="17" max="17" width="7.42578125" style="62" customWidth="1"/>
    <col min="18" max="18" width="5.7109375" style="8" customWidth="1"/>
    <col min="19" max="19" width="5" style="8" customWidth="1"/>
    <col min="20" max="20" width="10.140625" style="8" customWidth="1"/>
    <col min="21" max="21" width="5.7109375" style="8" customWidth="1"/>
    <col min="22" max="22" width="10.140625" style="8" customWidth="1"/>
    <col min="23" max="23" width="7.42578125" style="8" customWidth="1"/>
    <col min="24" max="24" width="11" style="8" customWidth="1"/>
    <col min="25" max="25" width="0.42578125" style="225" hidden="1" customWidth="1"/>
    <col min="26" max="26" width="5.42578125" style="29" customWidth="1"/>
    <col min="27" max="27" width="17.28515625" style="29" hidden="1" customWidth="1"/>
    <col min="28" max="28" width="13.42578125" style="8" customWidth="1"/>
    <col min="29" max="29" width="29.28515625" style="8" customWidth="1"/>
    <col min="30" max="16384" width="27" style="8"/>
  </cols>
  <sheetData>
    <row r="1" spans="1:55" ht="18.75" customHeight="1" x14ac:dyDescent="0.2">
      <c r="B1" s="133" t="s">
        <v>562</v>
      </c>
    </row>
    <row r="2" spans="1:55" ht="18.75" customHeight="1" x14ac:dyDescent="0.2">
      <c r="B2" s="133" t="s">
        <v>676</v>
      </c>
      <c r="H2" s="29"/>
    </row>
    <row r="3" spans="1:55" ht="18.75" customHeight="1" x14ac:dyDescent="0.2">
      <c r="B3" s="7"/>
      <c r="C3" s="7"/>
      <c r="D3" s="7"/>
      <c r="E3" s="7"/>
      <c r="F3" s="226"/>
      <c r="G3" s="6"/>
      <c r="H3" s="7"/>
      <c r="I3" s="7"/>
      <c r="J3" s="7"/>
      <c r="K3" s="293" t="s">
        <v>0</v>
      </c>
      <c r="L3" s="293"/>
      <c r="M3" s="293"/>
      <c r="N3" s="268"/>
      <c r="O3" s="6"/>
      <c r="P3" s="294" t="s">
        <v>1</v>
      </c>
      <c r="Q3" s="294"/>
      <c r="R3" s="294"/>
      <c r="S3" s="227"/>
      <c r="T3" s="294" t="s">
        <v>2</v>
      </c>
      <c r="U3" s="294"/>
      <c r="V3" s="294"/>
      <c r="W3" s="294"/>
      <c r="X3" s="294"/>
      <c r="Y3" s="228"/>
      <c r="Z3" s="6"/>
      <c r="AA3" s="6"/>
      <c r="AB3" s="7"/>
    </row>
    <row r="4" spans="1:55" s="19" customFormat="1" ht="27.75" customHeight="1" thickBot="1" x14ac:dyDescent="0.25">
      <c r="A4" s="289" t="s">
        <v>665</v>
      </c>
      <c r="B4" s="229" t="s">
        <v>3</v>
      </c>
      <c r="C4" s="229" t="s">
        <v>4</v>
      </c>
      <c r="D4" s="229" t="s">
        <v>5</v>
      </c>
      <c r="E4" s="229"/>
      <c r="F4" s="230" t="s">
        <v>6</v>
      </c>
      <c r="G4" s="231" t="s">
        <v>7</v>
      </c>
      <c r="H4" s="232" t="s">
        <v>8</v>
      </c>
      <c r="I4" s="232" t="s">
        <v>9</v>
      </c>
      <c r="J4" s="233"/>
      <c r="K4" s="234" t="s">
        <v>10</v>
      </c>
      <c r="L4" s="235" t="s">
        <v>11</v>
      </c>
      <c r="M4" s="234" t="s">
        <v>12</v>
      </c>
      <c r="N4" s="269" t="s">
        <v>13</v>
      </c>
      <c r="O4" s="233"/>
      <c r="P4" s="234" t="s">
        <v>10</v>
      </c>
      <c r="Q4" s="235" t="s">
        <v>11</v>
      </c>
      <c r="R4" s="234" t="s">
        <v>12</v>
      </c>
      <c r="S4" s="233"/>
      <c r="T4" s="234" t="s">
        <v>14</v>
      </c>
      <c r="U4" s="233"/>
      <c r="V4" s="234" t="s">
        <v>15</v>
      </c>
      <c r="W4" s="234" t="s">
        <v>16</v>
      </c>
      <c r="X4" s="234" t="s">
        <v>17</v>
      </c>
      <c r="Y4" s="236"/>
      <c r="Z4" s="232" t="s">
        <v>18</v>
      </c>
      <c r="AA4" s="17" t="s">
        <v>18</v>
      </c>
      <c r="AB4" s="17" t="s">
        <v>19</v>
      </c>
      <c r="AC4" s="18" t="s">
        <v>18</v>
      </c>
      <c r="AM4" s="19" t="s">
        <v>10</v>
      </c>
      <c r="AN4" s="19" t="s">
        <v>11</v>
      </c>
      <c r="AO4" s="19" t="s">
        <v>20</v>
      </c>
      <c r="AQ4" s="19" t="s">
        <v>21</v>
      </c>
      <c r="AS4" s="19" t="s">
        <v>22</v>
      </c>
      <c r="AT4" s="19" t="s">
        <v>23</v>
      </c>
      <c r="AU4" s="19" t="s">
        <v>24</v>
      </c>
      <c r="AW4" s="19" t="s">
        <v>25</v>
      </c>
      <c r="BC4" s="19" t="s">
        <v>26</v>
      </c>
    </row>
    <row r="5" spans="1:55" ht="19.5" customHeight="1" x14ac:dyDescent="0.2">
      <c r="A5" s="8" t="s">
        <v>666</v>
      </c>
      <c r="B5" s="29" t="s">
        <v>101</v>
      </c>
      <c r="C5" s="29" t="s">
        <v>127</v>
      </c>
      <c r="D5" s="8">
        <v>2018</v>
      </c>
      <c r="E5" s="8" t="s">
        <v>627</v>
      </c>
      <c r="F5" s="237" t="s">
        <v>132</v>
      </c>
      <c r="G5" s="29" t="s">
        <v>133</v>
      </c>
      <c r="H5" s="29">
        <v>4</v>
      </c>
      <c r="I5" s="29">
        <v>8</v>
      </c>
      <c r="J5" s="240"/>
      <c r="K5" s="242">
        <v>85.9</v>
      </c>
      <c r="L5" s="57">
        <v>16.7</v>
      </c>
      <c r="M5" s="8">
        <v>15</v>
      </c>
      <c r="N5" s="254">
        <v>751.2</v>
      </c>
      <c r="O5" s="240"/>
      <c r="P5" s="242">
        <v>75.7</v>
      </c>
      <c r="Q5" s="57">
        <v>19.2</v>
      </c>
      <c r="R5" s="8">
        <v>24</v>
      </c>
      <c r="T5" s="59">
        <f t="shared" ref="T5:T17" si="0">(P5-K5)/SQRT((Q5^2+L5^2)/2)</f>
        <v>-0.56687228263993794</v>
      </c>
      <c r="U5" s="29">
        <v>1</v>
      </c>
      <c r="V5" s="238">
        <f t="shared" ref="V5:V17" si="1">(P5-K5)/SQRT((((R5-1)*Q5^2) + ((M5-1)*L5^2))/(R5+M5-2))*U5</f>
        <v>-0.55755143881517988</v>
      </c>
      <c r="W5" s="238">
        <f t="shared" ref="W5:W17" si="2">V5*(1-(3/(4*(M5+R5-2) -1)))</f>
        <v>-0.54617283802303329</v>
      </c>
      <c r="X5" s="238">
        <f t="shared" ref="X5:X17" si="3">((P5-K5)/Q5)*U5 * (1-(3/(4*(M5+R5-2)-1)))</f>
        <v>-0.52040816326530637</v>
      </c>
      <c r="Z5" s="29">
        <v>1</v>
      </c>
      <c r="AA5" s="29" t="s">
        <v>63</v>
      </c>
      <c r="AB5" s="8" t="s">
        <v>32</v>
      </c>
      <c r="AC5" s="29" t="s">
        <v>48</v>
      </c>
    </row>
    <row r="6" spans="1:55" ht="19.5" customHeight="1" x14ac:dyDescent="0.2">
      <c r="A6" s="8" t="s">
        <v>666</v>
      </c>
      <c r="B6" s="29" t="s">
        <v>101</v>
      </c>
      <c r="C6" s="29" t="s">
        <v>60</v>
      </c>
      <c r="D6" s="8">
        <v>2017</v>
      </c>
      <c r="E6" s="8" t="s">
        <v>627</v>
      </c>
      <c r="F6" s="237" t="s">
        <v>104</v>
      </c>
      <c r="G6" s="29" t="s">
        <v>105</v>
      </c>
      <c r="H6" s="29">
        <v>4</v>
      </c>
      <c r="I6" s="29">
        <v>12</v>
      </c>
      <c r="J6" s="29"/>
      <c r="K6" s="242">
        <v>111.3</v>
      </c>
      <c r="L6" s="57">
        <v>86.7</v>
      </c>
      <c r="M6" s="8">
        <v>37</v>
      </c>
      <c r="N6" s="254">
        <v>720</v>
      </c>
      <c r="O6" s="240"/>
      <c r="P6" s="242">
        <v>94.3</v>
      </c>
      <c r="Q6" s="57">
        <v>51.9</v>
      </c>
      <c r="R6" s="8">
        <v>30</v>
      </c>
      <c r="T6" s="59">
        <f t="shared" si="0"/>
        <v>-0.23792518429246062</v>
      </c>
      <c r="U6" s="29">
        <v>1</v>
      </c>
      <c r="V6" s="238">
        <f t="shared" si="1"/>
        <v>-0.23209483280355711</v>
      </c>
      <c r="W6" s="238">
        <f t="shared" si="2"/>
        <v>-0.22940647566683639</v>
      </c>
      <c r="X6" s="238">
        <f t="shared" si="3"/>
        <v>-0.32375893647569948</v>
      </c>
      <c r="Z6" s="29">
        <v>1</v>
      </c>
      <c r="AA6" s="29" t="s">
        <v>63</v>
      </c>
      <c r="AB6" s="8" t="s">
        <v>32</v>
      </c>
      <c r="AC6" s="29" t="s">
        <v>48</v>
      </c>
    </row>
    <row r="7" spans="1:55" ht="19.5" customHeight="1" x14ac:dyDescent="0.2">
      <c r="A7" s="8" t="s">
        <v>666</v>
      </c>
      <c r="B7" s="29" t="s">
        <v>101</v>
      </c>
      <c r="C7" s="29" t="s">
        <v>60</v>
      </c>
      <c r="D7" s="8">
        <v>2017</v>
      </c>
      <c r="E7" s="8" t="s">
        <v>627</v>
      </c>
      <c r="F7" s="237" t="s">
        <v>136</v>
      </c>
      <c r="G7" s="29" t="s">
        <v>137</v>
      </c>
      <c r="H7" s="29">
        <v>4</v>
      </c>
      <c r="I7" s="29">
        <v>14</v>
      </c>
      <c r="J7" s="29"/>
      <c r="K7" s="242">
        <v>173</v>
      </c>
      <c r="L7" s="57">
        <v>94.6</v>
      </c>
      <c r="M7" s="8">
        <v>37</v>
      </c>
      <c r="N7" s="254">
        <v>720</v>
      </c>
      <c r="O7" s="240"/>
      <c r="P7" s="242">
        <v>145</v>
      </c>
      <c r="Q7" s="57">
        <v>62.9</v>
      </c>
      <c r="R7" s="8">
        <v>30</v>
      </c>
      <c r="T7" s="59">
        <f t="shared" si="0"/>
        <v>-0.34856552736054808</v>
      </c>
      <c r="U7" s="29">
        <v>1</v>
      </c>
      <c r="V7" s="238">
        <f t="shared" si="1"/>
        <v>-0.34152372539457815</v>
      </c>
      <c r="W7" s="238">
        <f t="shared" si="2"/>
        <v>-0.33756785212745949</v>
      </c>
      <c r="X7" s="238">
        <f t="shared" si="3"/>
        <v>-0.43999484381042409</v>
      </c>
      <c r="Z7" s="29">
        <v>1</v>
      </c>
      <c r="AA7" s="29" t="s">
        <v>63</v>
      </c>
      <c r="AB7" s="8" t="s">
        <v>32</v>
      </c>
      <c r="AC7" s="29" t="s">
        <v>48</v>
      </c>
    </row>
    <row r="8" spans="1:55" ht="19.5" customHeight="1" x14ac:dyDescent="0.2">
      <c r="A8" s="8" t="s">
        <v>666</v>
      </c>
      <c r="B8" s="29" t="s">
        <v>101</v>
      </c>
      <c r="C8" s="29" t="s">
        <v>106</v>
      </c>
      <c r="D8" s="8">
        <v>2011</v>
      </c>
      <c r="E8" s="8" t="s">
        <v>627</v>
      </c>
      <c r="F8" s="237" t="s">
        <v>107</v>
      </c>
      <c r="G8" s="29" t="s">
        <v>108</v>
      </c>
      <c r="H8" s="29">
        <v>9</v>
      </c>
      <c r="I8" s="29">
        <v>17</v>
      </c>
      <c r="J8" s="29"/>
      <c r="K8" s="242">
        <v>167</v>
      </c>
      <c r="L8" s="57">
        <v>81.3</v>
      </c>
      <c r="M8" s="8">
        <v>8</v>
      </c>
      <c r="N8" s="254">
        <v>1140</v>
      </c>
      <c r="O8" s="240"/>
      <c r="P8" s="242">
        <v>157.19999999999999</v>
      </c>
      <c r="Q8" s="57">
        <v>80.900000000000006</v>
      </c>
      <c r="R8" s="8">
        <v>15</v>
      </c>
      <c r="T8" s="59">
        <f t="shared" si="0"/>
        <v>-0.12083810357911694</v>
      </c>
      <c r="U8" s="29">
        <v>1</v>
      </c>
      <c r="V8" s="238">
        <f t="shared" si="1"/>
        <v>-0.12093755821964521</v>
      </c>
      <c r="W8" s="238">
        <f t="shared" si="2"/>
        <v>-0.11656632117556165</v>
      </c>
      <c r="X8" s="238">
        <f t="shared" si="3"/>
        <v>-0.11675875318331434</v>
      </c>
      <c r="Z8" s="29">
        <v>1</v>
      </c>
      <c r="AA8" s="29" t="s">
        <v>63</v>
      </c>
      <c r="AB8" s="29" t="s">
        <v>109</v>
      </c>
      <c r="AC8" s="29" t="s">
        <v>48</v>
      </c>
    </row>
    <row r="9" spans="1:55" ht="19.5" customHeight="1" x14ac:dyDescent="0.2">
      <c r="A9" s="8" t="s">
        <v>666</v>
      </c>
      <c r="B9" s="29" t="s">
        <v>101</v>
      </c>
      <c r="C9" s="29" t="s">
        <v>110</v>
      </c>
      <c r="D9" s="8">
        <v>2011</v>
      </c>
      <c r="E9" s="8" t="s">
        <v>627</v>
      </c>
      <c r="F9" s="237" t="s">
        <v>107</v>
      </c>
      <c r="G9" s="29" t="s">
        <v>111</v>
      </c>
      <c r="H9" s="29">
        <v>10</v>
      </c>
      <c r="I9" s="29">
        <v>18</v>
      </c>
      <c r="J9" s="29"/>
      <c r="K9" s="242">
        <v>121.5</v>
      </c>
      <c r="L9" s="57">
        <v>64</v>
      </c>
      <c r="M9" s="8">
        <v>9</v>
      </c>
      <c r="N9" s="254">
        <v>1210</v>
      </c>
      <c r="O9" s="240"/>
      <c r="P9" s="242">
        <v>124.1</v>
      </c>
      <c r="Q9" s="57">
        <v>98.6</v>
      </c>
      <c r="R9" s="8">
        <v>15</v>
      </c>
      <c r="T9" s="59">
        <f t="shared" si="0"/>
        <v>3.1279973771031075E-2</v>
      </c>
      <c r="U9" s="29">
        <v>1</v>
      </c>
      <c r="V9" s="238">
        <f t="shared" si="1"/>
        <v>2.9675732086079119E-2</v>
      </c>
      <c r="W9" s="238">
        <f t="shared" si="2"/>
        <v>2.8652430979662601E-2</v>
      </c>
      <c r="X9" s="238">
        <f t="shared" si="3"/>
        <v>2.5459886689515231E-2</v>
      </c>
      <c r="Z9" s="29">
        <v>1</v>
      </c>
      <c r="AA9" s="29" t="s">
        <v>63</v>
      </c>
      <c r="AB9" s="29" t="s">
        <v>109</v>
      </c>
      <c r="AC9" s="29" t="s">
        <v>48</v>
      </c>
    </row>
    <row r="10" spans="1:55" ht="19.5" customHeight="1" x14ac:dyDescent="0.2">
      <c r="A10" s="8" t="s">
        <v>666</v>
      </c>
      <c r="B10" s="224" t="s">
        <v>101</v>
      </c>
      <c r="C10" s="274" t="s">
        <v>112</v>
      </c>
      <c r="D10" s="159">
        <v>1996</v>
      </c>
      <c r="E10" s="159" t="s">
        <v>627</v>
      </c>
      <c r="F10" s="250" t="s">
        <v>113</v>
      </c>
      <c r="G10" s="258" t="s">
        <v>632</v>
      </c>
      <c r="H10" s="159">
        <v>11</v>
      </c>
      <c r="I10" s="224">
        <v>19</v>
      </c>
      <c r="J10" s="224"/>
      <c r="K10" s="266">
        <v>52.3</v>
      </c>
      <c r="L10" s="267">
        <v>8.14</v>
      </c>
      <c r="M10" s="159">
        <v>8</v>
      </c>
      <c r="N10" s="254">
        <v>1253.0999999999999</v>
      </c>
      <c r="O10" s="254"/>
      <c r="P10" s="266">
        <v>54</v>
      </c>
      <c r="Q10" s="267">
        <v>6.12</v>
      </c>
      <c r="R10" s="159">
        <v>8</v>
      </c>
      <c r="S10" s="159"/>
      <c r="T10" s="251">
        <f t="shared" si="0"/>
        <v>0.23607240642412908</v>
      </c>
      <c r="U10" s="224">
        <v>1</v>
      </c>
      <c r="V10" s="252">
        <f t="shared" si="1"/>
        <v>0.23607240642412908</v>
      </c>
      <c r="W10" s="252">
        <f t="shared" si="2"/>
        <v>0.22319572971008567</v>
      </c>
      <c r="X10" s="252">
        <f t="shared" si="3"/>
        <v>0.26262626262626304</v>
      </c>
      <c r="Y10" s="253"/>
      <c r="Z10" s="158" t="s">
        <v>75</v>
      </c>
      <c r="AA10" s="158" t="s">
        <v>75</v>
      </c>
      <c r="AB10" s="159" t="s">
        <v>32</v>
      </c>
      <c r="AC10" s="158" t="s">
        <v>75</v>
      </c>
    </row>
    <row r="11" spans="1:55" ht="19.5" customHeight="1" x14ac:dyDescent="0.2">
      <c r="A11" s="8" t="s">
        <v>666</v>
      </c>
      <c r="B11" s="29" t="s">
        <v>347</v>
      </c>
      <c r="C11" s="29" t="s">
        <v>127</v>
      </c>
      <c r="D11" s="8">
        <v>2018</v>
      </c>
      <c r="E11" s="8" t="s">
        <v>627</v>
      </c>
      <c r="F11" s="237" t="s">
        <v>348</v>
      </c>
      <c r="G11" s="29" t="s">
        <v>349</v>
      </c>
      <c r="H11" s="29">
        <v>4</v>
      </c>
      <c r="I11" s="29">
        <v>1</v>
      </c>
      <c r="J11" s="29"/>
      <c r="K11" s="242">
        <v>704.5</v>
      </c>
      <c r="L11" s="57">
        <v>147.30000000000001</v>
      </c>
      <c r="M11" s="8">
        <v>15</v>
      </c>
      <c r="N11" s="254">
        <v>751.2</v>
      </c>
      <c r="O11" s="240"/>
      <c r="P11" s="242">
        <v>679</v>
      </c>
      <c r="Q11" s="57">
        <v>143.1</v>
      </c>
      <c r="R11" s="8">
        <v>24</v>
      </c>
      <c r="T11" s="59">
        <f t="shared" si="0"/>
        <v>-0.17560147013923155</v>
      </c>
      <c r="U11" s="29">
        <v>1</v>
      </c>
      <c r="V11" s="238">
        <f t="shared" si="1"/>
        <v>-0.17622238131814019</v>
      </c>
      <c r="W11" s="238">
        <f t="shared" si="2"/>
        <v>-0.17262600618919854</v>
      </c>
      <c r="X11" s="238">
        <f t="shared" si="3"/>
        <v>-0.17456039019381336</v>
      </c>
      <c r="Z11" s="29">
        <v>1</v>
      </c>
      <c r="AA11" s="29" t="s">
        <v>63</v>
      </c>
      <c r="AB11" s="8" t="s">
        <v>32</v>
      </c>
      <c r="AC11" s="29" t="s">
        <v>48</v>
      </c>
    </row>
    <row r="12" spans="1:55" ht="19.5" customHeight="1" x14ac:dyDescent="0.2">
      <c r="A12" s="8" t="s">
        <v>666</v>
      </c>
      <c r="B12" s="29" t="s">
        <v>347</v>
      </c>
      <c r="C12" s="29" t="s">
        <v>60</v>
      </c>
      <c r="D12" s="8">
        <v>2017</v>
      </c>
      <c r="E12" s="8" t="s">
        <v>627</v>
      </c>
      <c r="F12" s="237" t="s">
        <v>350</v>
      </c>
      <c r="G12" s="29" t="s">
        <v>351</v>
      </c>
      <c r="H12" s="29">
        <v>4</v>
      </c>
      <c r="I12" s="29">
        <v>2</v>
      </c>
      <c r="J12" s="29"/>
      <c r="K12" s="242">
        <v>897</v>
      </c>
      <c r="L12" s="57">
        <v>138.9</v>
      </c>
      <c r="M12" s="8">
        <v>37</v>
      </c>
      <c r="N12" s="254">
        <v>720</v>
      </c>
      <c r="O12" s="240"/>
      <c r="P12" s="242">
        <v>835</v>
      </c>
      <c r="Q12" s="57">
        <v>175.1</v>
      </c>
      <c r="R12" s="8">
        <v>30</v>
      </c>
      <c r="T12" s="59">
        <f t="shared" si="0"/>
        <v>-0.39230599355025614</v>
      </c>
      <c r="U12" s="29">
        <v>1</v>
      </c>
      <c r="V12" s="238">
        <f t="shared" si="1"/>
        <v>-0.39720296204612926</v>
      </c>
      <c r="W12" s="238">
        <f t="shared" si="2"/>
        <v>-0.39260215553594247</v>
      </c>
      <c r="X12" s="238">
        <f t="shared" si="3"/>
        <v>-0.3499820290225773</v>
      </c>
      <c r="Z12" s="29">
        <v>1</v>
      </c>
      <c r="AA12" s="29" t="s">
        <v>63</v>
      </c>
      <c r="AB12" s="8" t="s">
        <v>32</v>
      </c>
      <c r="AC12" s="29" t="s">
        <v>48</v>
      </c>
    </row>
    <row r="13" spans="1:55" ht="19.5" customHeight="1" x14ac:dyDescent="0.2">
      <c r="A13" s="8" t="s">
        <v>666</v>
      </c>
      <c r="B13" s="29" t="s">
        <v>347</v>
      </c>
      <c r="C13" s="29" t="s">
        <v>60</v>
      </c>
      <c r="D13" s="8">
        <v>2017</v>
      </c>
      <c r="E13" s="8" t="s">
        <v>627</v>
      </c>
      <c r="F13" s="237" t="s">
        <v>352</v>
      </c>
      <c r="G13" s="29" t="s">
        <v>353</v>
      </c>
      <c r="H13" s="29">
        <v>4</v>
      </c>
      <c r="I13" s="29">
        <v>3</v>
      </c>
      <c r="J13" s="29"/>
      <c r="K13" s="242">
        <v>731</v>
      </c>
      <c r="L13" s="57">
        <v>141.80000000000001</v>
      </c>
      <c r="M13" s="8">
        <v>37</v>
      </c>
      <c r="N13" s="254">
        <v>720</v>
      </c>
      <c r="O13" s="240"/>
      <c r="P13" s="242">
        <v>617</v>
      </c>
      <c r="Q13" s="57">
        <v>98.2</v>
      </c>
      <c r="R13" s="8">
        <v>30</v>
      </c>
      <c r="T13" s="59">
        <f t="shared" si="0"/>
        <v>-0.9347013299102096</v>
      </c>
      <c r="U13" s="29">
        <v>1</v>
      </c>
      <c r="V13" s="238">
        <f t="shared" si="1"/>
        <v>-0.91748649844483676</v>
      </c>
      <c r="W13" s="238">
        <f t="shared" si="2"/>
        <v>-0.90685924170609356</v>
      </c>
      <c r="X13" s="238">
        <f t="shared" si="3"/>
        <v>-1.1474494570217584</v>
      </c>
      <c r="Z13" s="29">
        <v>1</v>
      </c>
      <c r="AA13" s="29" t="s">
        <v>63</v>
      </c>
      <c r="AB13" s="8" t="s">
        <v>32</v>
      </c>
      <c r="AC13" s="29" t="s">
        <v>48</v>
      </c>
    </row>
    <row r="14" spans="1:55" ht="19.5" customHeight="1" x14ac:dyDescent="0.2">
      <c r="A14" s="8" t="s">
        <v>666</v>
      </c>
      <c r="B14" s="29" t="s">
        <v>347</v>
      </c>
      <c r="C14" s="29" t="s">
        <v>60</v>
      </c>
      <c r="D14" s="8">
        <v>2017</v>
      </c>
      <c r="E14" s="8" t="s">
        <v>627</v>
      </c>
      <c r="F14" s="237" t="s">
        <v>354</v>
      </c>
      <c r="G14" s="29" t="s">
        <v>355</v>
      </c>
      <c r="H14" s="29">
        <v>4</v>
      </c>
      <c r="I14" s="29">
        <v>4</v>
      </c>
      <c r="J14" s="29"/>
      <c r="K14" s="242">
        <v>574</v>
      </c>
      <c r="L14" s="57">
        <v>120</v>
      </c>
      <c r="M14" s="8">
        <v>37</v>
      </c>
      <c r="N14" s="254">
        <v>720</v>
      </c>
      <c r="O14" s="240"/>
      <c r="P14" s="242">
        <v>507</v>
      </c>
      <c r="Q14" s="57">
        <v>93.3</v>
      </c>
      <c r="R14" s="8">
        <v>30</v>
      </c>
      <c r="T14" s="59">
        <f t="shared" si="0"/>
        <v>-0.62335844560987985</v>
      </c>
      <c r="U14" s="29">
        <v>1</v>
      </c>
      <c r="V14" s="238">
        <f t="shared" si="1"/>
        <v>-0.61524607216505411</v>
      </c>
      <c r="W14" s="238">
        <f t="shared" si="2"/>
        <v>-0.60811966978476395</v>
      </c>
      <c r="X14" s="238">
        <f t="shared" si="3"/>
        <v>-0.70979569371852336</v>
      </c>
      <c r="Z14" s="29">
        <v>1</v>
      </c>
      <c r="AA14" s="29" t="s">
        <v>63</v>
      </c>
      <c r="AB14" s="8" t="s">
        <v>32</v>
      </c>
      <c r="AC14" s="29" t="s">
        <v>48</v>
      </c>
    </row>
    <row r="15" spans="1:55" ht="19.5" customHeight="1" x14ac:dyDescent="0.2">
      <c r="A15" s="8" t="s">
        <v>666</v>
      </c>
      <c r="B15" s="29" t="s">
        <v>347</v>
      </c>
      <c r="C15" s="29" t="s">
        <v>60</v>
      </c>
      <c r="D15" s="8">
        <v>2017</v>
      </c>
      <c r="E15" s="8" t="s">
        <v>627</v>
      </c>
      <c r="F15" s="237" t="s">
        <v>356</v>
      </c>
      <c r="G15" s="29" t="s">
        <v>357</v>
      </c>
      <c r="H15" s="29">
        <v>4</v>
      </c>
      <c r="I15" s="29">
        <v>5</v>
      </c>
      <c r="J15" s="29"/>
      <c r="K15" s="242">
        <v>795</v>
      </c>
      <c r="L15" s="57">
        <v>296.7</v>
      </c>
      <c r="M15" s="8">
        <v>37</v>
      </c>
      <c r="N15" s="254">
        <v>720</v>
      </c>
      <c r="O15" s="240"/>
      <c r="P15" s="242">
        <v>604</v>
      </c>
      <c r="Q15" s="57">
        <v>103.6</v>
      </c>
      <c r="R15" s="8">
        <v>30</v>
      </c>
      <c r="T15" s="59">
        <f t="shared" si="0"/>
        <v>-0.85950688414051912</v>
      </c>
      <c r="U15" s="29">
        <v>1</v>
      </c>
      <c r="V15" s="238">
        <f t="shared" si="1"/>
        <v>-0.82542471718316868</v>
      </c>
      <c r="W15" s="238">
        <f t="shared" si="2"/>
        <v>-0.81586381312313194</v>
      </c>
      <c r="X15" s="238">
        <f t="shared" si="3"/>
        <v>-1.8222745635873052</v>
      </c>
      <c r="Z15" s="29">
        <v>1</v>
      </c>
      <c r="AA15" s="29" t="s">
        <v>63</v>
      </c>
      <c r="AB15" s="8" t="s">
        <v>32</v>
      </c>
      <c r="AC15" s="29" t="s">
        <v>48</v>
      </c>
    </row>
    <row r="16" spans="1:55" ht="19.5" customHeight="1" x14ac:dyDescent="0.2">
      <c r="A16" s="8" t="s">
        <v>666</v>
      </c>
      <c r="B16" s="29" t="s">
        <v>347</v>
      </c>
      <c r="C16" s="29" t="s">
        <v>106</v>
      </c>
      <c r="D16" s="8">
        <v>2011</v>
      </c>
      <c r="E16" s="8" t="s">
        <v>627</v>
      </c>
      <c r="F16" s="237" t="s">
        <v>358</v>
      </c>
      <c r="G16" s="29" t="s">
        <v>359</v>
      </c>
      <c r="H16" s="29">
        <v>9</v>
      </c>
      <c r="I16" s="29">
        <v>6</v>
      </c>
      <c r="J16" s="29"/>
      <c r="K16" s="242">
        <v>879.9</v>
      </c>
      <c r="L16" s="57">
        <v>120.7</v>
      </c>
      <c r="M16" s="8">
        <v>9</v>
      </c>
      <c r="N16" s="254">
        <v>1140</v>
      </c>
      <c r="O16" s="240"/>
      <c r="P16" s="242">
        <v>889</v>
      </c>
      <c r="Q16" s="57">
        <v>154.1</v>
      </c>
      <c r="R16" s="8">
        <v>15</v>
      </c>
      <c r="T16" s="59">
        <f t="shared" si="0"/>
        <v>6.5746142240099809E-2</v>
      </c>
      <c r="U16" s="29">
        <v>1</v>
      </c>
      <c r="V16" s="238">
        <f t="shared" si="1"/>
        <v>6.369832107915141E-2</v>
      </c>
      <c r="W16" s="238">
        <f t="shared" si="2"/>
        <v>6.150182724883585E-2</v>
      </c>
      <c r="X16" s="238">
        <f t="shared" si="3"/>
        <v>5.7016267985410429E-2</v>
      </c>
      <c r="Z16" s="29">
        <v>1</v>
      </c>
      <c r="AA16" s="29" t="s">
        <v>63</v>
      </c>
      <c r="AB16" s="29" t="s">
        <v>109</v>
      </c>
      <c r="AC16" s="29" t="s">
        <v>48</v>
      </c>
    </row>
    <row r="17" spans="1:55" ht="19.5" customHeight="1" x14ac:dyDescent="0.2">
      <c r="A17" s="8" t="s">
        <v>666</v>
      </c>
      <c r="B17" s="29" t="s">
        <v>347</v>
      </c>
      <c r="C17" s="29" t="s">
        <v>110</v>
      </c>
      <c r="D17" s="8">
        <v>2011</v>
      </c>
      <c r="E17" s="8" t="s">
        <v>627</v>
      </c>
      <c r="F17" s="237" t="s">
        <v>358</v>
      </c>
      <c r="G17" s="29" t="s">
        <v>360</v>
      </c>
      <c r="H17" s="29">
        <v>10</v>
      </c>
      <c r="I17" s="29">
        <v>7</v>
      </c>
      <c r="J17" s="29"/>
      <c r="K17" s="242">
        <v>863.3</v>
      </c>
      <c r="L17" s="57">
        <v>175.1</v>
      </c>
      <c r="M17" s="8">
        <v>8</v>
      </c>
      <c r="N17" s="254">
        <v>1210</v>
      </c>
      <c r="O17" s="240"/>
      <c r="P17" s="242">
        <v>838.1</v>
      </c>
      <c r="Q17" s="57">
        <v>135.5</v>
      </c>
      <c r="R17" s="8">
        <v>15</v>
      </c>
      <c r="T17" s="59">
        <f t="shared" si="0"/>
        <v>-0.16096362105408038</v>
      </c>
      <c r="U17" s="29">
        <v>1</v>
      </c>
      <c r="V17" s="238">
        <f t="shared" si="1"/>
        <v>-0.16814889638061556</v>
      </c>
      <c r="W17" s="238">
        <f t="shared" si="2"/>
        <v>-0.16207122542709934</v>
      </c>
      <c r="X17" s="238">
        <f t="shared" si="3"/>
        <v>-0.17925576846129859</v>
      </c>
      <c r="Z17" s="29">
        <v>1</v>
      </c>
      <c r="AA17" s="29" t="s">
        <v>63</v>
      </c>
      <c r="AB17" s="29" t="s">
        <v>109</v>
      </c>
      <c r="AC17" s="29" t="s">
        <v>48</v>
      </c>
    </row>
    <row r="18" spans="1:55" ht="19.5" customHeight="1" x14ac:dyDescent="0.2">
      <c r="A18" s="8" t="s">
        <v>666</v>
      </c>
      <c r="B18" s="29" t="s">
        <v>228</v>
      </c>
      <c r="C18" s="159" t="s">
        <v>546</v>
      </c>
      <c r="D18" s="159">
        <v>2021</v>
      </c>
      <c r="E18" s="159" t="s">
        <v>624</v>
      </c>
      <c r="F18" s="253" t="s">
        <v>551</v>
      </c>
      <c r="G18" s="241" t="s">
        <v>551</v>
      </c>
      <c r="H18" s="8">
        <v>1</v>
      </c>
      <c r="I18" s="29"/>
      <c r="J18" s="29"/>
      <c r="K18" s="239" t="s">
        <v>75</v>
      </c>
      <c r="L18" s="239" t="s">
        <v>75</v>
      </c>
      <c r="M18" s="8">
        <v>152</v>
      </c>
      <c r="N18" s="254">
        <v>908</v>
      </c>
      <c r="O18" s="240"/>
      <c r="P18" s="239" t="s">
        <v>75</v>
      </c>
      <c r="Q18" s="239" t="s">
        <v>75</v>
      </c>
      <c r="R18" s="8">
        <v>76</v>
      </c>
      <c r="T18" s="239" t="s">
        <v>75</v>
      </c>
      <c r="U18" s="239" t="s">
        <v>75</v>
      </c>
      <c r="V18" s="239" t="s">
        <v>75</v>
      </c>
      <c r="W18" s="239" t="s">
        <v>75</v>
      </c>
      <c r="X18" s="238">
        <v>-0.02</v>
      </c>
      <c r="Z18" s="29">
        <v>1</v>
      </c>
      <c r="AB18" s="42" t="s">
        <v>44</v>
      </c>
    </row>
    <row r="19" spans="1:55" ht="19.5" customHeight="1" x14ac:dyDescent="0.2">
      <c r="A19" s="8" t="s">
        <v>666</v>
      </c>
      <c r="B19" s="29" t="s">
        <v>228</v>
      </c>
      <c r="C19" s="224" t="s">
        <v>28</v>
      </c>
      <c r="D19" s="159">
        <v>2004</v>
      </c>
      <c r="E19" s="159" t="s">
        <v>624</v>
      </c>
      <c r="F19" s="250" t="s">
        <v>630</v>
      </c>
      <c r="G19" s="238" t="s">
        <v>633</v>
      </c>
      <c r="H19" s="29">
        <v>2</v>
      </c>
      <c r="I19" s="29">
        <v>2</v>
      </c>
      <c r="J19" s="29"/>
      <c r="K19" s="244">
        <v>75.760000000000005</v>
      </c>
      <c r="L19" s="248">
        <v>19.5</v>
      </c>
      <c r="M19" s="29">
        <v>20</v>
      </c>
      <c r="N19" s="254">
        <v>858.5</v>
      </c>
      <c r="O19" s="240"/>
      <c r="P19" s="244">
        <v>80.67</v>
      </c>
      <c r="Q19" s="248">
        <v>19.21</v>
      </c>
      <c r="R19" s="29">
        <v>20</v>
      </c>
      <c r="S19" s="29"/>
      <c r="T19" s="59">
        <f t="shared" ref="T19:T35" si="4">(P19-K19)/SQRT((Q19^2+L19^2)/2)</f>
        <v>0.25367410080343311</v>
      </c>
      <c r="U19" s="29">
        <v>-1</v>
      </c>
      <c r="V19" s="238">
        <f t="shared" ref="V19:V35" si="5">(P19-K19)/SQRT((((R19-1)*Q19^2) + ((M19-1)*L19^2))/(R19+M19-2))*U19</f>
        <v>-0.25367410080343311</v>
      </c>
      <c r="W19" s="238">
        <f t="shared" ref="W19:W35" si="6">V19*(1-(3/(4*(M19+R19-2) -1)))</f>
        <v>-0.2486342180060139</v>
      </c>
      <c r="X19" s="238">
        <f t="shared" ref="X19:X35" si="7">((P19-K19)/Q19)*U19 * (1-(3/(4*(M19+R19-2)-1)))</f>
        <v>-0.25051797663330683</v>
      </c>
      <c r="Z19" s="29">
        <v>2</v>
      </c>
      <c r="AA19" s="29" t="s">
        <v>31</v>
      </c>
      <c r="AB19" s="8" t="s">
        <v>32</v>
      </c>
      <c r="AC19" s="29" t="s">
        <v>31</v>
      </c>
    </row>
    <row r="20" spans="1:55" ht="19.5" customHeight="1" x14ac:dyDescent="0.2">
      <c r="A20" s="8" t="s">
        <v>666</v>
      </c>
      <c r="B20" s="29" t="s">
        <v>228</v>
      </c>
      <c r="C20" s="224" t="s">
        <v>28</v>
      </c>
      <c r="D20" s="159">
        <v>2004</v>
      </c>
      <c r="E20" s="159" t="s">
        <v>624</v>
      </c>
      <c r="F20" s="250" t="s">
        <v>623</v>
      </c>
      <c r="G20" s="238" t="s">
        <v>231</v>
      </c>
      <c r="H20" s="29">
        <v>2</v>
      </c>
      <c r="I20" s="29">
        <v>3</v>
      </c>
      <c r="J20" s="29"/>
      <c r="K20" s="244">
        <v>69</v>
      </c>
      <c r="L20" s="248">
        <v>14.63</v>
      </c>
      <c r="M20" s="29">
        <v>20</v>
      </c>
      <c r="N20" s="254">
        <v>858.5</v>
      </c>
      <c r="O20" s="240"/>
      <c r="P20" s="244">
        <v>66.5</v>
      </c>
      <c r="Q20" s="248">
        <v>13.4</v>
      </c>
      <c r="R20" s="29">
        <v>20</v>
      </c>
      <c r="S20" s="29"/>
      <c r="T20" s="59">
        <f t="shared" si="4"/>
        <v>-0.17820881069919003</v>
      </c>
      <c r="U20" s="29">
        <v>-1</v>
      </c>
      <c r="V20" s="238">
        <f t="shared" si="5"/>
        <v>0.17820881069919003</v>
      </c>
      <c r="W20" s="238">
        <f t="shared" si="6"/>
        <v>0.17466823830119288</v>
      </c>
      <c r="X20" s="238">
        <f t="shared" si="7"/>
        <v>0.18286053177819511</v>
      </c>
      <c r="Z20" s="29">
        <v>2</v>
      </c>
      <c r="AA20" s="29" t="s">
        <v>31</v>
      </c>
      <c r="AB20" s="8" t="s">
        <v>32</v>
      </c>
      <c r="AC20" s="29" t="s">
        <v>31</v>
      </c>
    </row>
    <row r="21" spans="1:55" ht="19.5" customHeight="1" x14ac:dyDescent="0.2">
      <c r="A21" s="8" t="s">
        <v>666</v>
      </c>
      <c r="B21" s="29" t="s">
        <v>228</v>
      </c>
      <c r="C21" s="224" t="s">
        <v>41</v>
      </c>
      <c r="D21" s="159">
        <v>2007</v>
      </c>
      <c r="E21" s="159" t="s">
        <v>624</v>
      </c>
      <c r="F21" s="250" t="s">
        <v>232</v>
      </c>
      <c r="G21" s="238" t="s">
        <v>233</v>
      </c>
      <c r="H21" s="29">
        <v>3</v>
      </c>
      <c r="I21" s="29">
        <v>4</v>
      </c>
      <c r="J21" s="29"/>
      <c r="K21" s="244">
        <v>108</v>
      </c>
      <c r="L21" s="248">
        <v>14.2</v>
      </c>
      <c r="M21" s="29">
        <v>12</v>
      </c>
      <c r="N21" s="270" t="s">
        <v>44</v>
      </c>
      <c r="O21" s="243"/>
      <c r="P21" s="244">
        <v>109</v>
      </c>
      <c r="Q21" s="248">
        <v>2.7</v>
      </c>
      <c r="R21" s="29">
        <v>12</v>
      </c>
      <c r="S21" s="29"/>
      <c r="T21" s="59">
        <f t="shared" si="4"/>
        <v>9.7839583600314597E-2</v>
      </c>
      <c r="U21" s="29">
        <v>-1</v>
      </c>
      <c r="V21" s="238">
        <f t="shared" si="5"/>
        <v>-9.783958360031457E-2</v>
      </c>
      <c r="W21" s="238">
        <f t="shared" si="6"/>
        <v>-9.4465804855476135E-2</v>
      </c>
      <c r="X21" s="238">
        <f t="shared" si="7"/>
        <v>-0.35759897828863346</v>
      </c>
      <c r="Z21" s="32">
        <v>1</v>
      </c>
      <c r="AA21" s="32" t="s">
        <v>46</v>
      </c>
      <c r="AB21" s="32" t="s">
        <v>234</v>
      </c>
      <c r="AC21" s="29" t="s">
        <v>48</v>
      </c>
    </row>
    <row r="22" spans="1:55" ht="19.5" customHeight="1" x14ac:dyDescent="0.2">
      <c r="A22" s="8" t="s">
        <v>666</v>
      </c>
      <c r="B22" s="29" t="s">
        <v>228</v>
      </c>
      <c r="C22" s="224" t="s">
        <v>41</v>
      </c>
      <c r="D22" s="159">
        <v>2007</v>
      </c>
      <c r="E22" s="159" t="s">
        <v>624</v>
      </c>
      <c r="F22" s="250" t="s">
        <v>235</v>
      </c>
      <c r="G22" s="238" t="s">
        <v>236</v>
      </c>
      <c r="H22" s="29">
        <v>3</v>
      </c>
      <c r="I22" s="29">
        <v>5</v>
      </c>
      <c r="J22" s="29"/>
      <c r="K22" s="244">
        <v>99</v>
      </c>
      <c r="L22" s="248">
        <v>11.8</v>
      </c>
      <c r="M22" s="29">
        <v>12</v>
      </c>
      <c r="N22" s="270" t="s">
        <v>44</v>
      </c>
      <c r="O22" s="243"/>
      <c r="P22" s="244">
        <v>100</v>
      </c>
      <c r="Q22" s="248">
        <v>11.4</v>
      </c>
      <c r="R22" s="29">
        <v>12</v>
      </c>
      <c r="S22" s="29"/>
      <c r="T22" s="59">
        <f t="shared" si="4"/>
        <v>8.6194086254223923E-2</v>
      </c>
      <c r="U22" s="29">
        <v>-1</v>
      </c>
      <c r="V22" s="238">
        <f t="shared" si="5"/>
        <v>-8.6194086254223923E-2</v>
      </c>
      <c r="W22" s="238">
        <f t="shared" si="6"/>
        <v>-8.3221876383388613E-2</v>
      </c>
      <c r="X22" s="238">
        <f t="shared" si="7"/>
        <v>-8.4694494857834243E-2</v>
      </c>
      <c r="Z22" s="32">
        <v>1</v>
      </c>
      <c r="AA22" s="32" t="s">
        <v>46</v>
      </c>
      <c r="AB22" s="32" t="s">
        <v>234</v>
      </c>
      <c r="AC22" s="29" t="s">
        <v>48</v>
      </c>
    </row>
    <row r="23" spans="1:55" ht="19.5" customHeight="1" x14ac:dyDescent="0.2">
      <c r="A23" s="8" t="s">
        <v>666</v>
      </c>
      <c r="B23" s="29" t="s">
        <v>228</v>
      </c>
      <c r="C23" s="224" t="s">
        <v>60</v>
      </c>
      <c r="D23" s="159">
        <v>2017</v>
      </c>
      <c r="E23" s="159" t="s">
        <v>624</v>
      </c>
      <c r="F23" s="250" t="s">
        <v>237</v>
      </c>
      <c r="G23" s="238" t="s">
        <v>238</v>
      </c>
      <c r="H23" s="29">
        <v>4</v>
      </c>
      <c r="I23" s="29">
        <v>6</v>
      </c>
      <c r="J23" s="29"/>
      <c r="K23" s="244">
        <v>24.1</v>
      </c>
      <c r="L23" s="248">
        <v>11.2</v>
      </c>
      <c r="M23" s="29">
        <v>37</v>
      </c>
      <c r="N23" s="254">
        <v>720</v>
      </c>
      <c r="O23" s="240"/>
      <c r="P23" s="244">
        <v>20.5</v>
      </c>
      <c r="Q23" s="248">
        <v>8.4</v>
      </c>
      <c r="R23" s="29">
        <v>30</v>
      </c>
      <c r="S23" s="29"/>
      <c r="T23" s="59">
        <f t="shared" si="4"/>
        <v>-0.36365491603879602</v>
      </c>
      <c r="U23" s="29">
        <v>1</v>
      </c>
      <c r="V23" s="238">
        <f t="shared" si="5"/>
        <v>-0.35829307866221516</v>
      </c>
      <c r="W23" s="238">
        <f t="shared" si="6"/>
        <v>-0.35414296578195786</v>
      </c>
      <c r="X23" s="238">
        <f t="shared" si="7"/>
        <v>-0.42360728075013804</v>
      </c>
      <c r="Z23" s="29">
        <v>1</v>
      </c>
      <c r="AA23" s="29" t="s">
        <v>63</v>
      </c>
      <c r="AB23" s="8" t="s">
        <v>32</v>
      </c>
      <c r="AC23" s="29" t="s">
        <v>48</v>
      </c>
    </row>
    <row r="24" spans="1:55" ht="19.5" customHeight="1" x14ac:dyDescent="0.2">
      <c r="A24" s="8" t="s">
        <v>666</v>
      </c>
      <c r="B24" s="29" t="s">
        <v>228</v>
      </c>
      <c r="C24" s="224" t="s">
        <v>60</v>
      </c>
      <c r="D24" s="159">
        <v>2017</v>
      </c>
      <c r="E24" s="159" t="s">
        <v>624</v>
      </c>
      <c r="F24" s="250" t="s">
        <v>239</v>
      </c>
      <c r="G24" s="238" t="s">
        <v>240</v>
      </c>
      <c r="H24" s="29">
        <v>4</v>
      </c>
      <c r="I24" s="29">
        <v>7</v>
      </c>
      <c r="J24" s="29"/>
      <c r="K24" s="244">
        <v>16.3</v>
      </c>
      <c r="L24" s="248">
        <v>15.9</v>
      </c>
      <c r="M24" s="29">
        <v>37</v>
      </c>
      <c r="N24" s="254">
        <v>720</v>
      </c>
      <c r="O24" s="240"/>
      <c r="P24" s="244">
        <v>15.1</v>
      </c>
      <c r="Q24" s="248">
        <v>15.1</v>
      </c>
      <c r="R24" s="29">
        <v>30</v>
      </c>
      <c r="S24" s="29"/>
      <c r="T24" s="59">
        <f t="shared" si="4"/>
        <v>-7.7393588110088715E-2</v>
      </c>
      <c r="U24" s="29">
        <v>1</v>
      </c>
      <c r="V24" s="238">
        <f t="shared" si="5"/>
        <v>-7.7179533708483197E-2</v>
      </c>
      <c r="W24" s="238">
        <f t="shared" si="6"/>
        <v>-7.6285562275566404E-2</v>
      </c>
      <c r="X24" s="238">
        <f t="shared" si="7"/>
        <v>-7.8549694443734247E-2</v>
      </c>
      <c r="Z24" s="29">
        <v>1</v>
      </c>
      <c r="AA24" s="29" t="s">
        <v>63</v>
      </c>
      <c r="AB24" s="8" t="s">
        <v>32</v>
      </c>
      <c r="AC24" s="29" t="s">
        <v>48</v>
      </c>
    </row>
    <row r="25" spans="1:55" ht="19.5" customHeight="1" x14ac:dyDescent="0.2">
      <c r="A25" s="8" t="s">
        <v>666</v>
      </c>
      <c r="B25" s="29" t="s">
        <v>228</v>
      </c>
      <c r="C25" s="224" t="s">
        <v>60</v>
      </c>
      <c r="D25" s="159">
        <v>2017</v>
      </c>
      <c r="E25" s="159" t="s">
        <v>624</v>
      </c>
      <c r="F25" s="250" t="s">
        <v>241</v>
      </c>
      <c r="G25" s="238" t="s">
        <v>242</v>
      </c>
      <c r="H25" s="29">
        <v>4</v>
      </c>
      <c r="I25" s="29">
        <v>8</v>
      </c>
      <c r="J25" s="29"/>
      <c r="K25" s="244">
        <v>43.5</v>
      </c>
      <c r="L25" s="248">
        <v>22.9</v>
      </c>
      <c r="M25" s="29">
        <v>37</v>
      </c>
      <c r="N25" s="254">
        <v>720</v>
      </c>
      <c r="O25" s="240"/>
      <c r="P25" s="244">
        <v>47</v>
      </c>
      <c r="Q25" s="248">
        <v>14.9</v>
      </c>
      <c r="R25" s="29">
        <v>30</v>
      </c>
      <c r="S25" s="29"/>
      <c r="T25" s="59">
        <f t="shared" si="4"/>
        <v>0.1811721375541869</v>
      </c>
      <c r="U25" s="29">
        <v>1</v>
      </c>
      <c r="V25" s="238">
        <f t="shared" si="5"/>
        <v>0.17734468327121153</v>
      </c>
      <c r="W25" s="238">
        <f t="shared" si="6"/>
        <v>0.17529049775069558</v>
      </c>
      <c r="X25" s="238">
        <f t="shared" si="7"/>
        <v>0.23217848721204426</v>
      </c>
      <c r="Z25" s="29">
        <v>1</v>
      </c>
      <c r="AA25" s="29" t="s">
        <v>63</v>
      </c>
      <c r="AB25" s="8" t="s">
        <v>32</v>
      </c>
      <c r="AC25" s="29" t="s">
        <v>48</v>
      </c>
    </row>
    <row r="26" spans="1:55" s="219" customFormat="1" ht="19.5" customHeight="1" x14ac:dyDescent="0.2">
      <c r="A26" s="8" t="s">
        <v>666</v>
      </c>
      <c r="B26" s="29" t="s">
        <v>228</v>
      </c>
      <c r="C26" s="224" t="s">
        <v>60</v>
      </c>
      <c r="D26" s="159">
        <v>2017</v>
      </c>
      <c r="E26" s="159" t="s">
        <v>624</v>
      </c>
      <c r="F26" s="250" t="s">
        <v>243</v>
      </c>
      <c r="G26" s="238" t="s">
        <v>244</v>
      </c>
      <c r="H26" s="29">
        <v>4</v>
      </c>
      <c r="I26" s="29">
        <v>9</v>
      </c>
      <c r="J26" s="29"/>
      <c r="K26" s="244">
        <v>20.399999999999999</v>
      </c>
      <c r="L26" s="248">
        <v>23.7</v>
      </c>
      <c r="M26" s="29">
        <v>37</v>
      </c>
      <c r="N26" s="254">
        <v>720</v>
      </c>
      <c r="O26" s="240"/>
      <c r="P26" s="244">
        <v>29.3</v>
      </c>
      <c r="Q26" s="248">
        <v>24.5</v>
      </c>
      <c r="R26" s="29">
        <v>30</v>
      </c>
      <c r="S26" s="29"/>
      <c r="T26" s="59">
        <f t="shared" si="4"/>
        <v>0.36924375016627187</v>
      </c>
      <c r="U26" s="29">
        <v>1</v>
      </c>
      <c r="V26" s="238">
        <f t="shared" si="5"/>
        <v>0.36990533746144177</v>
      </c>
      <c r="W26" s="238">
        <f t="shared" si="6"/>
        <v>0.36562071965300807</v>
      </c>
      <c r="X26" s="238">
        <f t="shared" si="7"/>
        <v>0.35905759987392649</v>
      </c>
      <c r="Y26" s="225"/>
      <c r="Z26" s="29">
        <v>1</v>
      </c>
      <c r="AA26" s="29" t="s">
        <v>63</v>
      </c>
      <c r="AB26" s="8" t="s">
        <v>32</v>
      </c>
      <c r="AC26" s="29" t="s">
        <v>48</v>
      </c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</row>
    <row r="27" spans="1:55" s="278" customFormat="1" ht="19.5" customHeight="1" x14ac:dyDescent="0.2">
      <c r="A27" s="278" t="s">
        <v>666</v>
      </c>
      <c r="B27" s="279" t="s">
        <v>228</v>
      </c>
      <c r="C27" s="279" t="s">
        <v>509</v>
      </c>
      <c r="D27" s="278">
        <v>2021</v>
      </c>
      <c r="E27" s="278" t="s">
        <v>624</v>
      </c>
      <c r="F27" s="280" t="s">
        <v>519</v>
      </c>
      <c r="G27" s="279"/>
      <c r="H27" s="279">
        <v>5</v>
      </c>
      <c r="I27" s="279">
        <v>10</v>
      </c>
      <c r="J27" s="279"/>
      <c r="K27" s="281">
        <v>13</v>
      </c>
      <c r="L27" s="282">
        <f>(18-11)/1.35</f>
        <v>5.1851851851851851</v>
      </c>
      <c r="M27" s="278">
        <v>19</v>
      </c>
      <c r="N27" s="283">
        <v>890</v>
      </c>
      <c r="O27" s="283"/>
      <c r="P27" s="281">
        <v>20</v>
      </c>
      <c r="Q27" s="282">
        <f>(22-18)/1.35</f>
        <v>2.9629629629629628</v>
      </c>
      <c r="R27" s="278">
        <v>25</v>
      </c>
      <c r="S27" s="279"/>
      <c r="T27" s="284">
        <f t="shared" si="4"/>
        <v>1.6576396564902851</v>
      </c>
      <c r="U27" s="279">
        <v>-1</v>
      </c>
      <c r="V27" s="285">
        <f t="shared" si="5"/>
        <v>-1.7212327501226519</v>
      </c>
      <c r="W27" s="285">
        <f t="shared" si="6"/>
        <v>-1.6903124013180533</v>
      </c>
      <c r="X27" s="285">
        <f t="shared" si="7"/>
        <v>-2.3200598802395214</v>
      </c>
      <c r="Y27" s="286"/>
      <c r="Z27" s="287"/>
      <c r="AA27" s="287"/>
      <c r="AB27" s="288"/>
      <c r="AC27" s="287"/>
    </row>
    <row r="28" spans="1:55" ht="19.5" customHeight="1" x14ac:dyDescent="0.2">
      <c r="A28" s="8" t="s">
        <v>666</v>
      </c>
      <c r="B28" s="29" t="s">
        <v>228</v>
      </c>
      <c r="C28" s="8" t="s">
        <v>77</v>
      </c>
      <c r="D28" s="8">
        <v>2020</v>
      </c>
      <c r="E28" s="8" t="s">
        <v>624</v>
      </c>
      <c r="F28" s="237" t="s">
        <v>241</v>
      </c>
      <c r="G28" s="238" t="s">
        <v>245</v>
      </c>
      <c r="H28" s="8">
        <v>6</v>
      </c>
      <c r="I28" s="29">
        <v>11</v>
      </c>
      <c r="J28" s="29"/>
      <c r="K28" s="242">
        <v>20.8</v>
      </c>
      <c r="L28" s="57">
        <v>8.8000000000000007</v>
      </c>
      <c r="M28" s="8">
        <v>19</v>
      </c>
      <c r="N28" s="254">
        <v>1042</v>
      </c>
      <c r="O28" s="240"/>
      <c r="P28" s="242">
        <v>19.7</v>
      </c>
      <c r="Q28" s="57">
        <v>6.1</v>
      </c>
      <c r="R28" s="8">
        <v>19</v>
      </c>
      <c r="T28" s="59">
        <f t="shared" si="4"/>
        <v>-0.14528495842730813</v>
      </c>
      <c r="U28" s="29">
        <v>1</v>
      </c>
      <c r="V28" s="238">
        <f t="shared" si="5"/>
        <v>-0.14528495842730813</v>
      </c>
      <c r="W28" s="238">
        <f t="shared" si="6"/>
        <v>-0.14223702223652546</v>
      </c>
      <c r="X28" s="238">
        <f t="shared" si="7"/>
        <v>-0.17654476670870139</v>
      </c>
      <c r="Z28" s="29">
        <v>1</v>
      </c>
      <c r="AA28" s="29" t="s">
        <v>63</v>
      </c>
      <c r="AB28" s="42" t="s">
        <v>44</v>
      </c>
      <c r="AC28" s="29" t="s">
        <v>48</v>
      </c>
    </row>
    <row r="29" spans="1:55" ht="19.5" customHeight="1" x14ac:dyDescent="0.2">
      <c r="A29" s="8" t="s">
        <v>666</v>
      </c>
      <c r="B29" s="29" t="s">
        <v>228</v>
      </c>
      <c r="C29" s="8" t="s">
        <v>77</v>
      </c>
      <c r="D29" s="8">
        <v>2020</v>
      </c>
      <c r="E29" s="8" t="s">
        <v>624</v>
      </c>
      <c r="F29" s="237" t="s">
        <v>243</v>
      </c>
      <c r="G29" s="238" t="s">
        <v>244</v>
      </c>
      <c r="H29" s="8">
        <v>6</v>
      </c>
      <c r="I29" s="29">
        <v>12</v>
      </c>
      <c r="J29" s="29"/>
      <c r="K29" s="242">
        <v>10.199999999999999</v>
      </c>
      <c r="L29" s="57">
        <v>11</v>
      </c>
      <c r="M29" s="8">
        <v>19</v>
      </c>
      <c r="N29" s="254">
        <v>1042</v>
      </c>
      <c r="O29" s="240"/>
      <c r="P29" s="242">
        <v>4.9000000000000004</v>
      </c>
      <c r="Q29" s="57">
        <v>7</v>
      </c>
      <c r="R29" s="8">
        <v>19</v>
      </c>
      <c r="T29" s="59">
        <f t="shared" si="4"/>
        <v>-0.5748657132194388</v>
      </c>
      <c r="U29" s="29">
        <v>1</v>
      </c>
      <c r="V29" s="238">
        <f t="shared" si="5"/>
        <v>-0.5748657132194388</v>
      </c>
      <c r="W29" s="238">
        <f t="shared" si="6"/>
        <v>-0.56280559336168834</v>
      </c>
      <c r="X29" s="238">
        <f t="shared" si="7"/>
        <v>-0.74125874125874114</v>
      </c>
      <c r="Z29" s="29">
        <v>1</v>
      </c>
      <c r="AA29" s="29" t="s">
        <v>63</v>
      </c>
      <c r="AB29" s="42" t="s">
        <v>44</v>
      </c>
      <c r="AC29" s="29" t="s">
        <v>48</v>
      </c>
    </row>
    <row r="30" spans="1:55" ht="19.5" customHeight="1" x14ac:dyDescent="0.2">
      <c r="A30" s="8" t="s">
        <v>666</v>
      </c>
      <c r="B30" s="29" t="s">
        <v>228</v>
      </c>
      <c r="C30" s="29" t="s">
        <v>76</v>
      </c>
      <c r="D30" s="8">
        <v>1996</v>
      </c>
      <c r="E30" s="8" t="s">
        <v>624</v>
      </c>
      <c r="F30" s="237" t="s">
        <v>246</v>
      </c>
      <c r="G30" s="29" t="s">
        <v>247</v>
      </c>
      <c r="H30" s="29">
        <v>7</v>
      </c>
      <c r="I30" s="29">
        <v>13</v>
      </c>
      <c r="J30" s="29"/>
      <c r="K30" s="244">
        <v>10.3</v>
      </c>
      <c r="L30" s="57">
        <v>4.9000000000000004</v>
      </c>
      <c r="M30" s="8">
        <v>11</v>
      </c>
      <c r="N30" s="271">
        <v>1545</v>
      </c>
      <c r="O30" s="245"/>
      <c r="P30" s="242">
        <v>14.02</v>
      </c>
      <c r="Q30" s="57">
        <v>3.59</v>
      </c>
      <c r="R30" s="8">
        <v>22</v>
      </c>
      <c r="S30" s="29"/>
      <c r="T30" s="59">
        <f t="shared" si="4"/>
        <v>0.86607586438741158</v>
      </c>
      <c r="U30" s="29">
        <v>-1</v>
      </c>
      <c r="V30" s="238">
        <f t="shared" si="5"/>
        <v>-0.91647275055592392</v>
      </c>
      <c r="W30" s="238">
        <f t="shared" si="6"/>
        <v>-0.89411975663992571</v>
      </c>
      <c r="X30" s="238">
        <f t="shared" si="7"/>
        <v>-1.0109382430871658</v>
      </c>
      <c r="Z30" s="32" t="s">
        <v>75</v>
      </c>
      <c r="AA30" s="32" t="s">
        <v>75</v>
      </c>
      <c r="AB30" s="42" t="s">
        <v>44</v>
      </c>
      <c r="AC30" s="32" t="s">
        <v>75</v>
      </c>
    </row>
    <row r="31" spans="1:55" ht="19.5" customHeight="1" x14ac:dyDescent="0.2">
      <c r="A31" s="8" t="s">
        <v>666</v>
      </c>
      <c r="B31" s="29" t="s">
        <v>228</v>
      </c>
      <c r="C31" s="29" t="s">
        <v>76</v>
      </c>
      <c r="D31" s="8">
        <v>1996</v>
      </c>
      <c r="E31" s="8" t="s">
        <v>624</v>
      </c>
      <c r="F31" s="237" t="s">
        <v>248</v>
      </c>
      <c r="G31" s="29" t="s">
        <v>247</v>
      </c>
      <c r="H31" s="29">
        <v>7</v>
      </c>
      <c r="I31" s="29">
        <v>14</v>
      </c>
      <c r="J31" s="29"/>
      <c r="K31" s="242">
        <v>8.85</v>
      </c>
      <c r="L31" s="57">
        <v>4.01</v>
      </c>
      <c r="M31" s="8">
        <v>11</v>
      </c>
      <c r="N31" s="271">
        <v>1545</v>
      </c>
      <c r="O31" s="245"/>
      <c r="P31" s="242">
        <v>12.66</v>
      </c>
      <c r="Q31" s="57">
        <v>3.69</v>
      </c>
      <c r="R31" s="8">
        <v>22</v>
      </c>
      <c r="S31" s="29"/>
      <c r="T31" s="59">
        <f t="shared" si="4"/>
        <v>0.98875691491790563</v>
      </c>
      <c r="U31" s="29">
        <v>-1</v>
      </c>
      <c r="V31" s="238">
        <f t="shared" si="5"/>
        <v>-1.0036420298583131</v>
      </c>
      <c r="W31" s="238">
        <f t="shared" si="6"/>
        <v>-0.97916295595932978</v>
      </c>
      <c r="X31" s="238">
        <f t="shared" si="7"/>
        <v>-1.0073369026373191</v>
      </c>
      <c r="Z31" s="32" t="s">
        <v>75</v>
      </c>
      <c r="AA31" s="32" t="s">
        <v>75</v>
      </c>
      <c r="AB31" s="42" t="s">
        <v>44</v>
      </c>
      <c r="AC31" s="32" t="s">
        <v>75</v>
      </c>
    </row>
    <row r="32" spans="1:55" ht="19.5" customHeight="1" x14ac:dyDescent="0.2">
      <c r="A32" s="8" t="s">
        <v>666</v>
      </c>
      <c r="B32" s="29" t="s">
        <v>228</v>
      </c>
      <c r="C32" s="29" t="s">
        <v>73</v>
      </c>
      <c r="D32" s="8">
        <v>1996</v>
      </c>
      <c r="E32" s="8" t="s">
        <v>624</v>
      </c>
      <c r="F32" s="237" t="s">
        <v>246</v>
      </c>
      <c r="G32" s="29" t="s">
        <v>247</v>
      </c>
      <c r="H32" s="29">
        <v>8</v>
      </c>
      <c r="I32" s="29">
        <v>15</v>
      </c>
      <c r="J32" s="29"/>
      <c r="K32" s="244">
        <v>12.35</v>
      </c>
      <c r="L32" s="57">
        <v>3.52</v>
      </c>
      <c r="M32" s="8">
        <v>11</v>
      </c>
      <c r="N32" s="271">
        <v>566</v>
      </c>
      <c r="O32" s="245"/>
      <c r="P32" s="242">
        <v>14.02</v>
      </c>
      <c r="Q32" s="57">
        <v>3.59</v>
      </c>
      <c r="R32" s="8">
        <v>22</v>
      </c>
      <c r="S32" s="29"/>
      <c r="T32" s="59">
        <f t="shared" si="4"/>
        <v>0.46973813490351979</v>
      </c>
      <c r="U32" s="29">
        <v>-1</v>
      </c>
      <c r="V32" s="238">
        <f t="shared" si="5"/>
        <v>-0.46810581669268231</v>
      </c>
      <c r="W32" s="238">
        <f t="shared" si="6"/>
        <v>-0.45668860165139735</v>
      </c>
      <c r="X32" s="238">
        <f t="shared" si="7"/>
        <v>-0.45383517902031389</v>
      </c>
      <c r="Z32" s="32" t="s">
        <v>75</v>
      </c>
      <c r="AA32" s="32" t="s">
        <v>75</v>
      </c>
      <c r="AB32" s="42" t="s">
        <v>44</v>
      </c>
      <c r="AC32" s="32" t="s">
        <v>75</v>
      </c>
    </row>
    <row r="33" spans="1:55" ht="19.5" customHeight="1" x14ac:dyDescent="0.2">
      <c r="A33" s="8" t="s">
        <v>666</v>
      </c>
      <c r="B33" s="29" t="s">
        <v>228</v>
      </c>
      <c r="C33" s="29" t="s">
        <v>73</v>
      </c>
      <c r="D33" s="8">
        <v>1996</v>
      </c>
      <c r="E33" s="8" t="s">
        <v>624</v>
      </c>
      <c r="F33" s="237" t="s">
        <v>248</v>
      </c>
      <c r="G33" s="29" t="s">
        <v>247</v>
      </c>
      <c r="H33" s="29">
        <v>8</v>
      </c>
      <c r="I33" s="29">
        <v>16</v>
      </c>
      <c r="J33" s="29"/>
      <c r="K33" s="244">
        <v>10.75</v>
      </c>
      <c r="L33" s="57">
        <v>4.0599999999999996</v>
      </c>
      <c r="M33" s="8">
        <v>11</v>
      </c>
      <c r="N33" s="271">
        <v>566</v>
      </c>
      <c r="O33" s="245"/>
      <c r="P33" s="242">
        <v>12.66</v>
      </c>
      <c r="Q33" s="57">
        <v>3.69</v>
      </c>
      <c r="R33" s="8">
        <v>22</v>
      </c>
      <c r="S33" s="29"/>
      <c r="T33" s="59">
        <f t="shared" si="4"/>
        <v>0.49234244896618845</v>
      </c>
      <c r="U33" s="29">
        <v>-1</v>
      </c>
      <c r="V33" s="238">
        <f t="shared" si="5"/>
        <v>-0.50088120626911026</v>
      </c>
      <c r="W33" s="238">
        <f t="shared" si="6"/>
        <v>-0.48866459148205876</v>
      </c>
      <c r="X33" s="238">
        <f t="shared" si="7"/>
        <v>-0.50499041575781611</v>
      </c>
      <c r="Z33" s="32" t="s">
        <v>75</v>
      </c>
      <c r="AA33" s="32" t="s">
        <v>75</v>
      </c>
      <c r="AB33" s="42" t="s">
        <v>44</v>
      </c>
      <c r="AC33" s="32" t="s">
        <v>75</v>
      </c>
      <c r="AD33" s="219"/>
      <c r="AE33" s="219"/>
      <c r="AF33" s="219"/>
      <c r="AG33" s="219"/>
      <c r="AH33" s="219"/>
      <c r="AI33" s="219"/>
      <c r="AJ33" s="219"/>
      <c r="AK33" s="219"/>
      <c r="AL33" s="219"/>
      <c r="AM33" s="219"/>
      <c r="AN33" s="219"/>
      <c r="AO33" s="219"/>
      <c r="AP33" s="219"/>
      <c r="AQ33" s="219"/>
      <c r="AR33" s="219"/>
      <c r="AS33" s="219"/>
      <c r="AT33" s="219"/>
      <c r="AU33" s="219"/>
      <c r="AV33" s="219"/>
      <c r="AW33" s="219"/>
      <c r="AX33" s="219"/>
      <c r="AY33" s="219"/>
      <c r="AZ33" s="219"/>
      <c r="BA33" s="219"/>
      <c r="BB33" s="219"/>
      <c r="BC33" s="219"/>
    </row>
    <row r="34" spans="1:55" s="159" customFormat="1" ht="18.75" customHeight="1" x14ac:dyDescent="0.2">
      <c r="A34" s="8" t="s">
        <v>666</v>
      </c>
      <c r="B34" s="224" t="s">
        <v>559</v>
      </c>
      <c r="C34" s="224" t="s">
        <v>563</v>
      </c>
      <c r="D34" s="159">
        <v>2022</v>
      </c>
      <c r="E34" s="8" t="s">
        <v>624</v>
      </c>
      <c r="F34" s="250" t="s">
        <v>564</v>
      </c>
      <c r="G34" s="257" t="s">
        <v>564</v>
      </c>
      <c r="H34" s="224">
        <v>1</v>
      </c>
      <c r="I34" s="224">
        <v>1</v>
      </c>
      <c r="J34" s="224"/>
      <c r="K34" s="264">
        <v>81.400000000000006</v>
      </c>
      <c r="L34" s="267">
        <v>6.3</v>
      </c>
      <c r="M34" s="159">
        <v>20</v>
      </c>
      <c r="N34" s="254">
        <v>702.3</v>
      </c>
      <c r="O34" s="254"/>
      <c r="P34" s="266">
        <v>87.4</v>
      </c>
      <c r="Q34" s="267">
        <v>7.9</v>
      </c>
      <c r="R34" s="159">
        <v>40</v>
      </c>
      <c r="S34" s="224"/>
      <c r="T34" s="251">
        <f t="shared" si="4"/>
        <v>0.8397565059148091</v>
      </c>
      <c r="U34" s="224">
        <v>-1</v>
      </c>
      <c r="V34" s="252">
        <f t="shared" si="5"/>
        <v>-0.80928087926573489</v>
      </c>
      <c r="W34" s="252">
        <f t="shared" si="6"/>
        <v>-0.7987707379765695</v>
      </c>
      <c r="X34" s="252">
        <f t="shared" si="7"/>
        <v>-0.74963011671872426</v>
      </c>
      <c r="Y34" s="277">
        <f>V46-(V47*2)</f>
        <v>-1.4002800840280096</v>
      </c>
      <c r="Z34" s="224">
        <v>1</v>
      </c>
      <c r="AA34" s="224"/>
    </row>
    <row r="35" spans="1:55" s="159" customFormat="1" ht="18.75" customHeight="1" x14ac:dyDescent="0.2">
      <c r="A35" s="8" t="s">
        <v>666</v>
      </c>
      <c r="B35" s="224" t="s">
        <v>559</v>
      </c>
      <c r="C35" s="224" t="s">
        <v>563</v>
      </c>
      <c r="D35" s="159">
        <v>2023</v>
      </c>
      <c r="E35" s="8" t="s">
        <v>624</v>
      </c>
      <c r="F35" s="250" t="s">
        <v>565</v>
      </c>
      <c r="G35" s="257" t="s">
        <v>566</v>
      </c>
      <c r="H35" s="224">
        <v>1</v>
      </c>
      <c r="I35" s="224">
        <v>2</v>
      </c>
      <c r="J35" s="224"/>
      <c r="K35" s="264">
        <v>816</v>
      </c>
      <c r="L35" s="267">
        <v>306.5</v>
      </c>
      <c r="M35" s="159">
        <v>20</v>
      </c>
      <c r="N35" s="254">
        <v>702.3</v>
      </c>
      <c r="O35" s="254"/>
      <c r="P35" s="266">
        <v>771.6</v>
      </c>
      <c r="Q35" s="267">
        <v>282.39999999999998</v>
      </c>
      <c r="R35" s="159">
        <v>40</v>
      </c>
      <c r="S35" s="224"/>
      <c r="T35" s="251">
        <f t="shared" si="4"/>
        <v>-0.15066349838712362</v>
      </c>
      <c r="U35" s="224">
        <v>1</v>
      </c>
      <c r="V35" s="252">
        <f t="shared" si="5"/>
        <v>-0.15283198646924889</v>
      </c>
      <c r="W35" s="252">
        <f t="shared" si="6"/>
        <v>-0.15084715547614178</v>
      </c>
      <c r="X35" s="252">
        <f t="shared" si="7"/>
        <v>-0.15518192855303331</v>
      </c>
      <c r="Y35" s="253"/>
      <c r="Z35" s="224">
        <v>1</v>
      </c>
      <c r="AA35" s="224"/>
    </row>
    <row r="36" spans="1:55" s="159" customFormat="1" ht="18.75" customHeight="1" x14ac:dyDescent="0.2">
      <c r="A36" s="8" t="s">
        <v>666</v>
      </c>
      <c r="B36" s="224" t="s">
        <v>559</v>
      </c>
      <c r="C36" s="159" t="s">
        <v>546</v>
      </c>
      <c r="D36" s="159">
        <v>2021</v>
      </c>
      <c r="E36" s="8" t="s">
        <v>624</v>
      </c>
      <c r="F36" s="250" t="s">
        <v>547</v>
      </c>
      <c r="G36" s="252" t="s">
        <v>211</v>
      </c>
      <c r="H36" s="159">
        <v>2</v>
      </c>
      <c r="I36" s="224">
        <v>3</v>
      </c>
      <c r="J36" s="224"/>
      <c r="K36" s="273" t="s">
        <v>75</v>
      </c>
      <c r="L36" s="273" t="s">
        <v>75</v>
      </c>
      <c r="M36" s="159">
        <v>153</v>
      </c>
      <c r="N36" s="254">
        <v>908</v>
      </c>
      <c r="O36" s="254"/>
      <c r="P36" s="266" t="s">
        <v>75</v>
      </c>
      <c r="Q36" s="267" t="s">
        <v>75</v>
      </c>
      <c r="R36" s="159">
        <v>76</v>
      </c>
      <c r="T36" s="251">
        <v>0.33</v>
      </c>
      <c r="U36" s="224">
        <v>-1</v>
      </c>
      <c r="V36" s="266" t="s">
        <v>75</v>
      </c>
      <c r="W36" s="267" t="s">
        <v>75</v>
      </c>
      <c r="X36" s="252">
        <v>-0.33</v>
      </c>
      <c r="Y36" s="253"/>
      <c r="Z36" s="224">
        <v>1</v>
      </c>
      <c r="AA36" s="224"/>
      <c r="AB36" s="267" t="s">
        <v>75</v>
      </c>
      <c r="AD36" s="275">
        <v>1</v>
      </c>
      <c r="AE36" s="275">
        <v>-4.0149999999999997</v>
      </c>
    </row>
    <row r="37" spans="1:55" s="159" customFormat="1" ht="18.75" customHeight="1" x14ac:dyDescent="0.2">
      <c r="A37" s="8" t="s">
        <v>666</v>
      </c>
      <c r="B37" s="224" t="s">
        <v>559</v>
      </c>
      <c r="C37" s="159" t="s">
        <v>546</v>
      </c>
      <c r="D37" s="159">
        <v>2021</v>
      </c>
      <c r="E37" s="8" t="s">
        <v>624</v>
      </c>
      <c r="F37" s="250" t="s">
        <v>560</v>
      </c>
      <c r="G37" s="252" t="s">
        <v>561</v>
      </c>
      <c r="H37" s="159">
        <v>2</v>
      </c>
      <c r="I37" s="224">
        <v>4</v>
      </c>
      <c r="J37" s="224"/>
      <c r="K37" s="273" t="s">
        <v>75</v>
      </c>
      <c r="L37" s="273" t="s">
        <v>75</v>
      </c>
      <c r="M37" s="159">
        <v>153</v>
      </c>
      <c r="N37" s="254">
        <v>908</v>
      </c>
      <c r="O37" s="254"/>
      <c r="P37" s="266" t="s">
        <v>75</v>
      </c>
      <c r="Q37" s="267" t="s">
        <v>75</v>
      </c>
      <c r="R37" s="159">
        <v>76</v>
      </c>
      <c r="T37" s="251">
        <v>0.33</v>
      </c>
      <c r="U37" s="224">
        <v>-1</v>
      </c>
      <c r="V37" s="266" t="s">
        <v>75</v>
      </c>
      <c r="W37" s="267" t="s">
        <v>75</v>
      </c>
      <c r="X37" s="252">
        <v>-0.47</v>
      </c>
      <c r="Y37" s="253"/>
      <c r="Z37" s="224">
        <v>1</v>
      </c>
      <c r="AA37" s="224"/>
      <c r="AB37" s="267" t="s">
        <v>75</v>
      </c>
      <c r="AD37" s="275">
        <v>0.83</v>
      </c>
      <c r="AE37" s="275">
        <v>-6.9560000000000004</v>
      </c>
    </row>
    <row r="38" spans="1:55" s="159" customFormat="1" ht="18.75" customHeight="1" x14ac:dyDescent="0.2">
      <c r="A38" s="8" t="s">
        <v>666</v>
      </c>
      <c r="B38" s="224" t="s">
        <v>559</v>
      </c>
      <c r="C38" s="224" t="s">
        <v>33</v>
      </c>
      <c r="D38" s="159">
        <v>2005</v>
      </c>
      <c r="E38" s="8" t="s">
        <v>624</v>
      </c>
      <c r="F38" s="250" t="s">
        <v>203</v>
      </c>
      <c r="G38" s="252" t="s">
        <v>204</v>
      </c>
      <c r="H38" s="159">
        <v>3</v>
      </c>
      <c r="I38" s="224">
        <v>5</v>
      </c>
      <c r="J38" s="224"/>
      <c r="K38" s="264">
        <v>95.18</v>
      </c>
      <c r="L38" s="265">
        <v>3.46</v>
      </c>
      <c r="M38" s="224">
        <v>25</v>
      </c>
      <c r="N38" s="254">
        <v>758.79</v>
      </c>
      <c r="O38" s="254"/>
      <c r="P38" s="264">
        <v>94.6</v>
      </c>
      <c r="Q38" s="265">
        <v>3.7</v>
      </c>
      <c r="R38" s="224">
        <v>25</v>
      </c>
      <c r="S38" s="224"/>
      <c r="T38" s="251">
        <f t="shared" ref="T38:T45" si="8">(P38-K38)/SQRT((Q38^2+L38^2)/2)</f>
        <v>-0.16192023513561832</v>
      </c>
      <c r="U38" s="224">
        <v>-1</v>
      </c>
      <c r="V38" s="252">
        <f t="shared" ref="V38:V45" si="9">(P38-K38)/SQRT((((R38-1)*Q38^2) + ((M38-1)*L38^2))/(R38+M38-2))*U38</f>
        <v>0.16192023513561829</v>
      </c>
      <c r="W38" s="252">
        <f t="shared" ref="W38:W45" si="10">V38*(1-(3/(4*(M38+R38-2) -1)))</f>
        <v>0.15937698536909026</v>
      </c>
      <c r="X38" s="252">
        <f t="shared" ref="X38:X45" si="11">((P38-K38)/Q38)*U38 * (1-(3/(4*(M38+R38-2)-1)))</f>
        <v>0.15429460874487386</v>
      </c>
      <c r="Y38" s="253"/>
      <c r="Z38" s="224">
        <v>2</v>
      </c>
      <c r="AA38" s="224" t="s">
        <v>31</v>
      </c>
      <c r="AB38" s="159" t="s">
        <v>32</v>
      </c>
      <c r="AC38" s="224" t="s">
        <v>31</v>
      </c>
    </row>
    <row r="39" spans="1:55" s="159" customFormat="1" ht="18.75" customHeight="1" x14ac:dyDescent="0.2">
      <c r="A39" s="8" t="s">
        <v>666</v>
      </c>
      <c r="B39" s="224" t="s">
        <v>559</v>
      </c>
      <c r="C39" s="224" t="s">
        <v>38</v>
      </c>
      <c r="D39" s="159">
        <v>2007</v>
      </c>
      <c r="E39" s="8" t="s">
        <v>624</v>
      </c>
      <c r="F39" s="250" t="s">
        <v>203</v>
      </c>
      <c r="G39" s="252" t="s">
        <v>205</v>
      </c>
      <c r="H39" s="159">
        <v>4</v>
      </c>
      <c r="I39" s="224">
        <v>6</v>
      </c>
      <c r="J39" s="224"/>
      <c r="K39" s="264">
        <v>92.43</v>
      </c>
      <c r="L39" s="265">
        <v>4.99</v>
      </c>
      <c r="M39" s="224">
        <v>25</v>
      </c>
      <c r="N39" s="254">
        <v>1285.68</v>
      </c>
      <c r="O39" s="254"/>
      <c r="P39" s="264">
        <v>93.88</v>
      </c>
      <c r="Q39" s="265">
        <v>4.8600000000000003</v>
      </c>
      <c r="R39" s="224">
        <v>45</v>
      </c>
      <c r="S39" s="224"/>
      <c r="T39" s="251">
        <f t="shared" si="8"/>
        <v>0.29439060535135325</v>
      </c>
      <c r="U39" s="224">
        <v>-1</v>
      </c>
      <c r="V39" s="252">
        <f t="shared" si="9"/>
        <v>-0.29553985358919804</v>
      </c>
      <c r="W39" s="252">
        <f t="shared" si="10"/>
        <v>-0.29226819469337667</v>
      </c>
      <c r="X39" s="252">
        <f t="shared" si="11"/>
        <v>-0.29505109865913243</v>
      </c>
      <c r="Y39" s="253"/>
      <c r="Z39" s="224">
        <v>2</v>
      </c>
      <c r="AA39" s="224" t="s">
        <v>31</v>
      </c>
      <c r="AB39" s="159" t="s">
        <v>32</v>
      </c>
      <c r="AC39" s="224" t="s">
        <v>31</v>
      </c>
    </row>
    <row r="40" spans="1:55" s="159" customFormat="1" ht="18.75" customHeight="1" x14ac:dyDescent="0.2">
      <c r="A40" s="8" t="s">
        <v>666</v>
      </c>
      <c r="B40" s="224" t="s">
        <v>559</v>
      </c>
      <c r="C40" s="224" t="s">
        <v>38</v>
      </c>
      <c r="D40" s="159">
        <v>2007</v>
      </c>
      <c r="E40" s="8" t="s">
        <v>624</v>
      </c>
      <c r="F40" s="250" t="s">
        <v>206</v>
      </c>
      <c r="G40" s="252" t="s">
        <v>207</v>
      </c>
      <c r="H40" s="159">
        <v>4</v>
      </c>
      <c r="I40" s="224">
        <v>7</v>
      </c>
      <c r="J40" s="224"/>
      <c r="K40" s="264">
        <v>0.84</v>
      </c>
      <c r="L40" s="265">
        <v>0.68</v>
      </c>
      <c r="M40" s="224">
        <v>25</v>
      </c>
      <c r="N40" s="254">
        <v>1285.68</v>
      </c>
      <c r="O40" s="254"/>
      <c r="P40" s="264">
        <v>0.63</v>
      </c>
      <c r="Q40" s="265">
        <v>0.26</v>
      </c>
      <c r="R40" s="224">
        <v>45</v>
      </c>
      <c r="S40" s="224"/>
      <c r="T40" s="251">
        <f t="shared" si="8"/>
        <v>-0.4079400621900508</v>
      </c>
      <c r="U40" s="224">
        <v>1</v>
      </c>
      <c r="V40" s="252">
        <f t="shared" si="9"/>
        <v>-0.46163192738837849</v>
      </c>
      <c r="W40" s="252">
        <f t="shared" si="10"/>
        <v>-0.45652161084902376</v>
      </c>
      <c r="X40" s="252">
        <f t="shared" si="11"/>
        <v>-0.79875106443372113</v>
      </c>
      <c r="Y40" s="253"/>
      <c r="Z40" s="224">
        <v>2</v>
      </c>
      <c r="AA40" s="224" t="s">
        <v>31</v>
      </c>
      <c r="AB40" s="159" t="s">
        <v>32</v>
      </c>
      <c r="AC40" s="224" t="s">
        <v>31</v>
      </c>
    </row>
    <row r="41" spans="1:55" s="159" customFormat="1" ht="18.75" customHeight="1" x14ac:dyDescent="0.2">
      <c r="A41" s="8" t="s">
        <v>666</v>
      </c>
      <c r="B41" s="224" t="s">
        <v>559</v>
      </c>
      <c r="C41" s="224" t="s">
        <v>41</v>
      </c>
      <c r="D41" s="159">
        <v>2007</v>
      </c>
      <c r="E41" s="8" t="s">
        <v>624</v>
      </c>
      <c r="F41" s="250" t="s">
        <v>208</v>
      </c>
      <c r="G41" s="252" t="s">
        <v>209</v>
      </c>
      <c r="H41" s="224">
        <v>5</v>
      </c>
      <c r="I41" s="224">
        <v>8</v>
      </c>
      <c r="J41" s="224"/>
      <c r="K41" s="264">
        <v>106</v>
      </c>
      <c r="L41" s="265">
        <v>5.4</v>
      </c>
      <c r="M41" s="224">
        <v>12</v>
      </c>
      <c r="N41" s="270" t="s">
        <v>44</v>
      </c>
      <c r="O41" s="270"/>
      <c r="P41" s="264">
        <v>105</v>
      </c>
      <c r="Q41" s="265">
        <v>5.2</v>
      </c>
      <c r="R41" s="224">
        <v>12</v>
      </c>
      <c r="S41" s="224"/>
      <c r="T41" s="251">
        <f t="shared" si="8"/>
        <v>-0.18864566947613623</v>
      </c>
      <c r="U41" s="224">
        <v>-1</v>
      </c>
      <c r="V41" s="252">
        <f t="shared" si="9"/>
        <v>0.18864566947613623</v>
      </c>
      <c r="W41" s="252">
        <f t="shared" si="10"/>
        <v>0.18214064639075223</v>
      </c>
      <c r="X41" s="252">
        <f t="shared" si="11"/>
        <v>0.1856763925729443</v>
      </c>
      <c r="Y41" s="253"/>
      <c r="Z41" s="224">
        <v>1</v>
      </c>
      <c r="AA41" s="224" t="s">
        <v>63</v>
      </c>
      <c r="AB41" s="260" t="s">
        <v>210</v>
      </c>
      <c r="AC41" s="224" t="s">
        <v>48</v>
      </c>
    </row>
    <row r="42" spans="1:55" s="159" customFormat="1" ht="18.75" customHeight="1" x14ac:dyDescent="0.2">
      <c r="A42" s="8" t="s">
        <v>666</v>
      </c>
      <c r="B42" s="224" t="s">
        <v>559</v>
      </c>
      <c r="C42" s="224" t="s">
        <v>60</v>
      </c>
      <c r="D42" s="159">
        <v>2017</v>
      </c>
      <c r="E42" s="8" t="s">
        <v>624</v>
      </c>
      <c r="F42" s="250" t="s">
        <v>211</v>
      </c>
      <c r="G42" s="252" t="s">
        <v>211</v>
      </c>
      <c r="H42" s="224">
        <v>6</v>
      </c>
      <c r="I42" s="224">
        <v>9</v>
      </c>
      <c r="J42" s="224"/>
      <c r="K42" s="264">
        <v>6.1</v>
      </c>
      <c r="L42" s="265">
        <v>1</v>
      </c>
      <c r="M42" s="224">
        <v>37</v>
      </c>
      <c r="N42" s="254">
        <v>720</v>
      </c>
      <c r="O42" s="254"/>
      <c r="P42" s="264">
        <v>6.5</v>
      </c>
      <c r="Q42" s="265">
        <v>0.9</v>
      </c>
      <c r="R42" s="224">
        <v>30</v>
      </c>
      <c r="S42" s="224"/>
      <c r="T42" s="251">
        <f t="shared" si="8"/>
        <v>0.42047066498210972</v>
      </c>
      <c r="U42" s="224">
        <v>-1</v>
      </c>
      <c r="V42" s="252">
        <f t="shared" si="9"/>
        <v>-0.41811397651944299</v>
      </c>
      <c r="W42" s="252">
        <f t="shared" si="10"/>
        <v>-0.41327095748639925</v>
      </c>
      <c r="X42" s="252">
        <f t="shared" si="11"/>
        <v>-0.43929643929643969</v>
      </c>
      <c r="Y42" s="253"/>
      <c r="Z42" s="224">
        <v>1</v>
      </c>
      <c r="AA42" s="224" t="s">
        <v>63</v>
      </c>
      <c r="AB42" s="159" t="s">
        <v>32</v>
      </c>
      <c r="AC42" s="224" t="s">
        <v>48</v>
      </c>
    </row>
    <row r="43" spans="1:55" s="159" customFormat="1" ht="18.75" customHeight="1" x14ac:dyDescent="0.2">
      <c r="A43" s="8" t="s">
        <v>666</v>
      </c>
      <c r="B43" s="224" t="s">
        <v>559</v>
      </c>
      <c r="C43" s="224" t="s">
        <v>60</v>
      </c>
      <c r="D43" s="159">
        <v>2017</v>
      </c>
      <c r="E43" s="8" t="s">
        <v>624</v>
      </c>
      <c r="F43" s="250" t="s">
        <v>212</v>
      </c>
      <c r="G43" s="252" t="s">
        <v>213</v>
      </c>
      <c r="H43" s="224">
        <v>6</v>
      </c>
      <c r="I43" s="224">
        <v>10</v>
      </c>
      <c r="J43" s="224"/>
      <c r="K43" s="264">
        <v>48.2</v>
      </c>
      <c r="L43" s="265">
        <v>12.5</v>
      </c>
      <c r="M43" s="224">
        <v>37</v>
      </c>
      <c r="N43" s="254">
        <v>720</v>
      </c>
      <c r="O43" s="254"/>
      <c r="P43" s="264">
        <v>39.299999999999997</v>
      </c>
      <c r="Q43" s="265">
        <v>10.4</v>
      </c>
      <c r="R43" s="224">
        <v>30</v>
      </c>
      <c r="S43" s="224"/>
      <c r="T43" s="251">
        <f t="shared" si="8"/>
        <v>-0.7740447447147154</v>
      </c>
      <c r="U43" s="224">
        <v>1</v>
      </c>
      <c r="V43" s="252">
        <f t="shared" si="9"/>
        <v>-0.76657381891955134</v>
      </c>
      <c r="W43" s="252">
        <f t="shared" si="10"/>
        <v>-0.75769458549577273</v>
      </c>
      <c r="X43" s="252">
        <f t="shared" si="11"/>
        <v>-0.8458568458568464</v>
      </c>
      <c r="Y43" s="253"/>
      <c r="Z43" s="224">
        <v>1</v>
      </c>
      <c r="AA43" s="224" t="s">
        <v>63</v>
      </c>
      <c r="AB43" s="159" t="s">
        <v>32</v>
      </c>
      <c r="AC43" s="224" t="s">
        <v>48</v>
      </c>
    </row>
    <row r="44" spans="1:55" s="159" customFormat="1" ht="18.75" customHeight="1" x14ac:dyDescent="0.2">
      <c r="A44" s="8" t="s">
        <v>666</v>
      </c>
      <c r="B44" s="224" t="s">
        <v>559</v>
      </c>
      <c r="C44" s="224" t="s">
        <v>509</v>
      </c>
      <c r="D44" s="159">
        <v>2021</v>
      </c>
      <c r="E44" s="8" t="s">
        <v>624</v>
      </c>
      <c r="F44" s="250" t="s">
        <v>211</v>
      </c>
      <c r="G44" s="257" t="s">
        <v>211</v>
      </c>
      <c r="H44" s="159">
        <v>7</v>
      </c>
      <c r="I44" s="224">
        <v>11</v>
      </c>
      <c r="J44" s="224"/>
      <c r="K44" s="266">
        <v>14</v>
      </c>
      <c r="L44" s="267">
        <v>3.2</v>
      </c>
      <c r="M44" s="159">
        <v>19</v>
      </c>
      <c r="N44" s="254">
        <v>890</v>
      </c>
      <c r="O44" s="254"/>
      <c r="P44" s="266">
        <v>19</v>
      </c>
      <c r="Q44" s="267">
        <v>2.36</v>
      </c>
      <c r="R44" s="159">
        <v>25</v>
      </c>
      <c r="T44" s="251">
        <f t="shared" si="8"/>
        <v>1.7783799821167132</v>
      </c>
      <c r="U44" s="224">
        <v>-1</v>
      </c>
      <c r="V44" s="252">
        <f t="shared" si="9"/>
        <v>-1.8171368894674385</v>
      </c>
      <c r="W44" s="252">
        <f t="shared" si="10"/>
        <v>-1.7844937118123347</v>
      </c>
      <c r="X44" s="276">
        <f>((P44-K44)/Q44)*U44 * (1-(3/(4*(M44+R44-2)-1)))</f>
        <v>-2.0805845935248146</v>
      </c>
      <c r="Y44" s="253"/>
      <c r="Z44" s="224">
        <v>2</v>
      </c>
      <c r="AA44" s="224"/>
      <c r="AB44" s="159" t="s">
        <v>32</v>
      </c>
      <c r="AC44" s="224"/>
    </row>
    <row r="45" spans="1:55" s="159" customFormat="1" ht="18.75" customHeight="1" x14ac:dyDescent="0.2">
      <c r="A45" s="8" t="s">
        <v>666</v>
      </c>
      <c r="B45" s="224" t="s">
        <v>559</v>
      </c>
      <c r="C45" s="159" t="s">
        <v>77</v>
      </c>
      <c r="D45" s="159">
        <v>2020</v>
      </c>
      <c r="E45" s="8" t="s">
        <v>624</v>
      </c>
      <c r="F45" s="250" t="s">
        <v>211</v>
      </c>
      <c r="G45" s="252" t="s">
        <v>211</v>
      </c>
      <c r="H45" s="159">
        <v>8</v>
      </c>
      <c r="I45" s="224">
        <v>12</v>
      </c>
      <c r="J45" s="224"/>
      <c r="K45" s="266">
        <v>5.9</v>
      </c>
      <c r="L45" s="267">
        <v>0.9</v>
      </c>
      <c r="M45" s="159">
        <v>19</v>
      </c>
      <c r="N45" s="254">
        <v>1042</v>
      </c>
      <c r="O45" s="254"/>
      <c r="P45" s="266">
        <v>5.9</v>
      </c>
      <c r="Q45" s="267">
        <v>1.1000000000000001</v>
      </c>
      <c r="R45" s="159">
        <v>19</v>
      </c>
      <c r="T45" s="251">
        <f t="shared" si="8"/>
        <v>0</v>
      </c>
      <c r="U45" s="224">
        <v>-1</v>
      </c>
      <c r="V45" s="252">
        <f t="shared" si="9"/>
        <v>0</v>
      </c>
      <c r="W45" s="252">
        <f t="shared" si="10"/>
        <v>0</v>
      </c>
      <c r="X45" s="252">
        <f t="shared" si="11"/>
        <v>0</v>
      </c>
      <c r="Y45" s="253"/>
      <c r="Z45" s="224">
        <v>1</v>
      </c>
      <c r="AA45" s="224" t="s">
        <v>63</v>
      </c>
      <c r="AB45" s="158" t="s">
        <v>44</v>
      </c>
      <c r="AC45" s="224" t="s">
        <v>48</v>
      </c>
    </row>
    <row r="46" spans="1:55" ht="19.5" customHeight="1" x14ac:dyDescent="0.2">
      <c r="B46" s="29"/>
      <c r="C46" s="29"/>
      <c r="F46" s="237"/>
      <c r="H46" s="29"/>
      <c r="I46" s="29"/>
      <c r="J46" s="29"/>
      <c r="K46" s="244"/>
      <c r="L46" s="57"/>
      <c r="N46" s="271"/>
      <c r="O46" s="245"/>
      <c r="P46" s="242"/>
      <c r="Q46" s="57"/>
      <c r="S46" s="29"/>
      <c r="T46" s="59"/>
      <c r="U46" s="29"/>
      <c r="V46" s="238"/>
      <c r="W46" s="238"/>
      <c r="X46" s="238"/>
      <c r="Z46" s="32"/>
      <c r="AA46" s="32"/>
      <c r="AB46" s="42"/>
      <c r="AC46" s="32"/>
      <c r="AD46" s="219"/>
      <c r="AE46" s="219"/>
      <c r="AF46" s="219"/>
      <c r="AG46" s="219"/>
      <c r="AH46" s="219"/>
      <c r="AI46" s="219"/>
      <c r="AJ46" s="219"/>
      <c r="AK46" s="219"/>
      <c r="AL46" s="219"/>
      <c r="AM46" s="219"/>
      <c r="AN46" s="219"/>
      <c r="AO46" s="219"/>
      <c r="AP46" s="219"/>
      <c r="AQ46" s="219"/>
      <c r="AR46" s="219"/>
      <c r="AS46" s="219"/>
      <c r="AT46" s="219"/>
      <c r="AU46" s="219"/>
      <c r="AV46" s="219"/>
      <c r="AW46" s="219"/>
      <c r="AX46" s="219"/>
      <c r="AY46" s="219"/>
      <c r="AZ46" s="219"/>
      <c r="BA46" s="219"/>
      <c r="BB46" s="219"/>
      <c r="BC46" s="219"/>
    </row>
    <row r="47" spans="1:55" ht="18.75" customHeight="1" x14ac:dyDescent="0.2">
      <c r="A47" s="8" t="s">
        <v>667</v>
      </c>
      <c r="B47" s="29" t="s">
        <v>101</v>
      </c>
      <c r="C47" s="29" t="s">
        <v>115</v>
      </c>
      <c r="D47" s="8">
        <v>2005</v>
      </c>
      <c r="E47" s="8" t="s">
        <v>626</v>
      </c>
      <c r="F47" s="237" t="s">
        <v>118</v>
      </c>
      <c r="G47" s="29" t="s">
        <v>119</v>
      </c>
      <c r="H47" s="29">
        <v>2</v>
      </c>
      <c r="I47" s="29">
        <v>3</v>
      </c>
      <c r="J47" s="29"/>
      <c r="K47" s="242">
        <v>0.02</v>
      </c>
      <c r="L47" s="249">
        <f>SQRT((0.06/SQRT(25))^2 + (0.05/SQRT(25))^2)</f>
        <v>1.5620499351813309E-2</v>
      </c>
      <c r="M47" s="8">
        <v>25</v>
      </c>
      <c r="N47" s="254">
        <v>758.79</v>
      </c>
      <c r="O47" s="240"/>
      <c r="P47" s="242">
        <v>0.03</v>
      </c>
      <c r="Q47" s="249">
        <f>SQRT((0.04/SQRT(25))^2 + (0.05/SQRT(25))^2)</f>
        <v>1.2806248474865698E-2</v>
      </c>
      <c r="R47" s="8">
        <v>25</v>
      </c>
      <c r="T47" s="59">
        <f t="shared" ref="T47:T71" si="12">(P47-K47)/SQRT((Q47^2+L47^2)/2)</f>
        <v>0.7001400420140047</v>
      </c>
      <c r="U47" s="29">
        <v>1</v>
      </c>
      <c r="V47" s="238">
        <f t="shared" ref="V47:V71" si="13">(P47-K47)/SQRT((((R47-1)*Q47^2) + ((M47-1)*L47^2))/(R47+M47-2))*U47</f>
        <v>0.70014004201400482</v>
      </c>
      <c r="W47" s="238">
        <f t="shared" ref="W47:W71" si="14">V47*(1-(3/(4*(M47+R47-2) -1)))</f>
        <v>0.68914307800331365</v>
      </c>
      <c r="X47" s="238">
        <f t="shared" ref="X47:X71" si="15">((P47-K47)/Q47)*U47 * (1-(3/(4*(M47+R47-2)-1)))</f>
        <v>0.7686038543208884</v>
      </c>
      <c r="Z47" s="29">
        <v>2</v>
      </c>
      <c r="AA47" s="29" t="s">
        <v>31</v>
      </c>
      <c r="AB47" s="8" t="s">
        <v>32</v>
      </c>
      <c r="AC47" s="29" t="s">
        <v>31</v>
      </c>
    </row>
    <row r="48" spans="1:55" ht="18.75" customHeight="1" x14ac:dyDescent="0.2">
      <c r="A48" s="8" t="s">
        <v>667</v>
      </c>
      <c r="B48" s="29" t="s">
        <v>101</v>
      </c>
      <c r="C48" s="29" t="s">
        <v>120</v>
      </c>
      <c r="D48" s="8">
        <v>2007</v>
      </c>
      <c r="E48" s="8" t="s">
        <v>626</v>
      </c>
      <c r="F48" s="237" t="s">
        <v>123</v>
      </c>
      <c r="G48" s="29" t="s">
        <v>124</v>
      </c>
      <c r="H48" s="29">
        <v>3</v>
      </c>
      <c r="I48" s="29">
        <v>5</v>
      </c>
      <c r="J48" s="29"/>
      <c r="K48" s="242">
        <v>0.06</v>
      </c>
      <c r="L48" s="249">
        <v>0.02</v>
      </c>
      <c r="M48" s="8">
        <v>25</v>
      </c>
      <c r="N48" s="254">
        <v>1286.68</v>
      </c>
      <c r="O48" s="240"/>
      <c r="P48" s="242">
        <v>0.03</v>
      </c>
      <c r="Q48" s="249">
        <v>0.01</v>
      </c>
      <c r="R48" s="8">
        <v>45</v>
      </c>
      <c r="T48" s="59">
        <f t="shared" si="12"/>
        <v>-1.8973665961010278</v>
      </c>
      <c r="U48" s="29">
        <v>1</v>
      </c>
      <c r="V48" s="238">
        <f t="shared" si="13"/>
        <v>-2.0907961573115084</v>
      </c>
      <c r="W48" s="238">
        <f t="shared" si="14"/>
        <v>-2.0676508123966211</v>
      </c>
      <c r="X48" s="238">
        <f t="shared" si="15"/>
        <v>-2.9667896678966792</v>
      </c>
      <c r="Z48" s="29">
        <v>2</v>
      </c>
      <c r="AA48" s="29" t="s">
        <v>31</v>
      </c>
      <c r="AB48" s="8" t="s">
        <v>32</v>
      </c>
      <c r="AC48" s="29" t="s">
        <v>31</v>
      </c>
    </row>
    <row r="49" spans="1:29" ht="18.75" customHeight="1" x14ac:dyDescent="0.2">
      <c r="A49" s="8" t="s">
        <v>667</v>
      </c>
      <c r="B49" s="29" t="s">
        <v>101</v>
      </c>
      <c r="C49" s="8" t="s">
        <v>78</v>
      </c>
      <c r="D49" s="8">
        <v>2020</v>
      </c>
      <c r="E49" s="8" t="s">
        <v>626</v>
      </c>
      <c r="F49" s="237" t="s">
        <v>139</v>
      </c>
      <c r="H49" s="8">
        <v>12</v>
      </c>
      <c r="I49" s="29">
        <v>15</v>
      </c>
      <c r="J49" s="29"/>
      <c r="K49" s="242">
        <v>471.1</v>
      </c>
      <c r="L49" s="57">
        <f>(598.4-418.5)/4</f>
        <v>44.974999999999994</v>
      </c>
      <c r="M49" s="8">
        <v>16</v>
      </c>
      <c r="N49" s="271">
        <v>926.2</v>
      </c>
      <c r="O49" s="245"/>
      <c r="P49" s="242">
        <v>448.58</v>
      </c>
      <c r="Q49" s="57">
        <f>(690.9-400.26)/4</f>
        <v>72.66</v>
      </c>
      <c r="R49" s="8">
        <v>17</v>
      </c>
      <c r="T49" s="59">
        <f t="shared" si="12"/>
        <v>-0.37269686730625295</v>
      </c>
      <c r="U49" s="29">
        <v>1</v>
      </c>
      <c r="V49" s="238">
        <f t="shared" si="13"/>
        <v>-0.37004449555368679</v>
      </c>
      <c r="W49" s="238">
        <f t="shared" si="14"/>
        <v>-0.36101902005237735</v>
      </c>
      <c r="X49" s="238">
        <f t="shared" si="15"/>
        <v>-0.30237725994105574</v>
      </c>
      <c r="Z49" s="8">
        <v>4</v>
      </c>
      <c r="AA49" s="8" t="s">
        <v>80</v>
      </c>
      <c r="AB49" s="42" t="s">
        <v>75</v>
      </c>
      <c r="AC49" s="8" t="s">
        <v>80</v>
      </c>
    </row>
    <row r="50" spans="1:29" ht="18.75" customHeight="1" x14ac:dyDescent="0.2">
      <c r="A50" s="8" t="s">
        <v>667</v>
      </c>
      <c r="B50" s="29" t="s">
        <v>146</v>
      </c>
      <c r="C50" s="29" t="s">
        <v>668</v>
      </c>
      <c r="D50" s="8">
        <v>1994</v>
      </c>
      <c r="E50" s="8" t="s">
        <v>626</v>
      </c>
      <c r="F50" s="237" t="s">
        <v>157</v>
      </c>
      <c r="G50" s="29" t="s">
        <v>158</v>
      </c>
      <c r="H50" s="29">
        <v>11</v>
      </c>
      <c r="I50" s="29">
        <v>10</v>
      </c>
      <c r="J50" s="29"/>
      <c r="K50" s="242">
        <v>1010</v>
      </c>
      <c r="L50" s="57">
        <v>1318</v>
      </c>
      <c r="M50" s="8">
        <v>19</v>
      </c>
      <c r="N50" s="254">
        <v>1332</v>
      </c>
      <c r="O50" s="240"/>
      <c r="P50" s="242">
        <v>729</v>
      </c>
      <c r="Q50" s="57">
        <v>691</v>
      </c>
      <c r="R50" s="8">
        <v>20</v>
      </c>
      <c r="T50" s="59">
        <f t="shared" si="12"/>
        <v>-0.26703806949163555</v>
      </c>
      <c r="U50" s="29">
        <v>1</v>
      </c>
      <c r="V50" s="238">
        <f t="shared" si="13"/>
        <v>-0.2691145864946321</v>
      </c>
      <c r="W50" s="238">
        <f t="shared" si="14"/>
        <v>-0.2636224520763743</v>
      </c>
      <c r="X50" s="238">
        <f t="shared" si="15"/>
        <v>-0.39835789598038929</v>
      </c>
      <c r="Z50" s="42" t="s">
        <v>75</v>
      </c>
      <c r="AA50" s="29" t="s">
        <v>143</v>
      </c>
      <c r="AB50" s="42" t="s">
        <v>44</v>
      </c>
      <c r="AC50" s="29" t="s">
        <v>143</v>
      </c>
    </row>
    <row r="51" spans="1:29" ht="18.75" customHeight="1" x14ac:dyDescent="0.2">
      <c r="A51" s="8" t="s">
        <v>667</v>
      </c>
      <c r="B51" s="29" t="s">
        <v>146</v>
      </c>
      <c r="C51" s="77" t="s">
        <v>112</v>
      </c>
      <c r="D51" s="8">
        <v>1996</v>
      </c>
      <c r="E51" s="8" t="s">
        <v>626</v>
      </c>
      <c r="F51" s="237" t="s">
        <v>157</v>
      </c>
      <c r="G51" s="255" t="s">
        <v>172</v>
      </c>
      <c r="H51" s="8">
        <v>13</v>
      </c>
      <c r="I51" s="29">
        <v>11</v>
      </c>
      <c r="J51" s="29"/>
      <c r="K51" s="242">
        <v>12.3</v>
      </c>
      <c r="L51" s="57">
        <v>4.53</v>
      </c>
      <c r="M51" s="8">
        <v>8</v>
      </c>
      <c r="N51" s="254">
        <v>1253.0999999999999</v>
      </c>
      <c r="O51" s="240"/>
      <c r="P51" s="242">
        <v>8.6999999999999993</v>
      </c>
      <c r="Q51" s="57">
        <v>1.18</v>
      </c>
      <c r="R51" s="8">
        <v>8</v>
      </c>
      <c r="T51" s="59">
        <f t="shared" si="12"/>
        <v>-1.0875859947978659</v>
      </c>
      <c r="U51" s="29">
        <v>1</v>
      </c>
      <c r="V51" s="238">
        <f t="shared" si="13"/>
        <v>-1.0875859947978659</v>
      </c>
      <c r="W51" s="238">
        <f t="shared" si="14"/>
        <v>-1.0282631223543459</v>
      </c>
      <c r="X51" s="238">
        <f t="shared" si="15"/>
        <v>-2.8844375963020044</v>
      </c>
      <c r="Z51" s="42" t="s">
        <v>75</v>
      </c>
      <c r="AA51" s="42" t="s">
        <v>75</v>
      </c>
      <c r="AB51" s="42" t="s">
        <v>44</v>
      </c>
      <c r="AC51" s="42" t="s">
        <v>75</v>
      </c>
    </row>
    <row r="52" spans="1:29" ht="18.75" customHeight="1" x14ac:dyDescent="0.2">
      <c r="A52" s="8" t="s">
        <v>667</v>
      </c>
      <c r="B52" s="29" t="s">
        <v>249</v>
      </c>
      <c r="C52" s="29" t="s">
        <v>28</v>
      </c>
      <c r="D52" s="8">
        <v>2004</v>
      </c>
      <c r="E52" s="8" t="s">
        <v>625</v>
      </c>
      <c r="F52" s="237" t="s">
        <v>252</v>
      </c>
      <c r="G52" s="238" t="s">
        <v>253</v>
      </c>
      <c r="H52" s="29">
        <v>1</v>
      </c>
      <c r="I52" s="29">
        <v>1</v>
      </c>
      <c r="J52" s="29"/>
      <c r="K52" s="244">
        <v>58.75</v>
      </c>
      <c r="L52" s="248">
        <v>4.3499999999999996</v>
      </c>
      <c r="M52" s="29">
        <v>20</v>
      </c>
      <c r="N52" s="254">
        <v>858.5</v>
      </c>
      <c r="O52" s="240"/>
      <c r="P52" s="244">
        <v>59.86</v>
      </c>
      <c r="Q52" s="248">
        <v>5.0599999999999996</v>
      </c>
      <c r="R52" s="29">
        <v>20</v>
      </c>
      <c r="S52" s="29"/>
      <c r="T52" s="59">
        <f t="shared" si="12"/>
        <v>0.23525055026796488</v>
      </c>
      <c r="U52" s="29">
        <v>-1</v>
      </c>
      <c r="V52" s="238">
        <f t="shared" si="13"/>
        <v>-0.23525055026796488</v>
      </c>
      <c r="W52" s="238">
        <f t="shared" si="14"/>
        <v>-0.23057669827588612</v>
      </c>
      <c r="X52" s="238">
        <f t="shared" si="15"/>
        <v>-0.21500929246394251</v>
      </c>
      <c r="Z52" s="29">
        <v>2</v>
      </c>
      <c r="AA52" s="29" t="s">
        <v>31</v>
      </c>
      <c r="AB52" s="8" t="s">
        <v>32</v>
      </c>
      <c r="AC52" s="29" t="s">
        <v>31</v>
      </c>
    </row>
    <row r="53" spans="1:29" ht="18.75" customHeight="1" x14ac:dyDescent="0.2">
      <c r="A53" s="8" t="s">
        <v>667</v>
      </c>
      <c r="B53" s="29" t="s">
        <v>249</v>
      </c>
      <c r="C53" s="29" t="s">
        <v>28</v>
      </c>
      <c r="D53" s="8">
        <v>2004</v>
      </c>
      <c r="E53" s="8" t="s">
        <v>625</v>
      </c>
      <c r="F53" s="237" t="s">
        <v>631</v>
      </c>
      <c r="G53" s="238" t="s">
        <v>255</v>
      </c>
      <c r="H53" s="29">
        <v>1</v>
      </c>
      <c r="I53" s="29">
        <v>2</v>
      </c>
      <c r="J53" s="29"/>
      <c r="K53" s="244">
        <v>63.33</v>
      </c>
      <c r="L53" s="248">
        <v>19.059999999999999</v>
      </c>
      <c r="M53" s="29">
        <v>20</v>
      </c>
      <c r="N53" s="254">
        <v>858.5</v>
      </c>
      <c r="O53" s="240"/>
      <c r="P53" s="244">
        <v>70.63</v>
      </c>
      <c r="Q53" s="248">
        <v>18.579999999999998</v>
      </c>
      <c r="R53" s="29">
        <v>20</v>
      </c>
      <c r="S53" s="29"/>
      <c r="T53" s="59">
        <f t="shared" si="12"/>
        <v>0.38785369270415399</v>
      </c>
      <c r="U53" s="29">
        <v>-1</v>
      </c>
      <c r="V53" s="238">
        <f t="shared" si="13"/>
        <v>-0.38785369270415399</v>
      </c>
      <c r="W53" s="238">
        <f t="shared" si="14"/>
        <v>-0.38014799020009793</v>
      </c>
      <c r="X53" s="238">
        <f t="shared" si="15"/>
        <v>-0.3850897140698179</v>
      </c>
      <c r="Z53" s="29">
        <v>2</v>
      </c>
      <c r="AA53" s="29" t="s">
        <v>31</v>
      </c>
      <c r="AB53" s="8" t="s">
        <v>32</v>
      </c>
      <c r="AC53" s="29" t="s">
        <v>31</v>
      </c>
    </row>
    <row r="54" spans="1:29" ht="18.75" customHeight="1" x14ac:dyDescent="0.2">
      <c r="A54" s="8" t="s">
        <v>667</v>
      </c>
      <c r="B54" s="29" t="s">
        <v>249</v>
      </c>
      <c r="C54" s="29" t="s">
        <v>41</v>
      </c>
      <c r="D54" s="8">
        <v>2007</v>
      </c>
      <c r="E54" s="8" t="s">
        <v>625</v>
      </c>
      <c r="F54" s="237" t="s">
        <v>256</v>
      </c>
      <c r="G54" s="238" t="s">
        <v>257</v>
      </c>
      <c r="H54" s="29">
        <v>5</v>
      </c>
      <c r="I54" s="29">
        <v>3</v>
      </c>
      <c r="J54" s="29"/>
      <c r="K54" s="244">
        <v>95</v>
      </c>
      <c r="L54" s="248">
        <v>13.9</v>
      </c>
      <c r="M54" s="29">
        <v>12</v>
      </c>
      <c r="N54" s="270" t="s">
        <v>44</v>
      </c>
      <c r="O54" s="243"/>
      <c r="P54" s="244">
        <v>97</v>
      </c>
      <c r="Q54" s="248">
        <v>2.9</v>
      </c>
      <c r="R54" s="29">
        <v>12</v>
      </c>
      <c r="S54" s="29"/>
      <c r="T54" s="59">
        <f t="shared" si="12"/>
        <v>0.19919488776864575</v>
      </c>
      <c r="U54" s="29">
        <v>-1</v>
      </c>
      <c r="V54" s="238">
        <f t="shared" si="13"/>
        <v>-0.19919488776864575</v>
      </c>
      <c r="W54" s="238">
        <f t="shared" si="14"/>
        <v>-0.19232609853524418</v>
      </c>
      <c r="X54" s="238">
        <f t="shared" si="15"/>
        <v>-0.66587395957193829</v>
      </c>
      <c r="Z54" s="32">
        <v>1</v>
      </c>
      <c r="AA54" s="32" t="s">
        <v>46</v>
      </c>
      <c r="AB54" s="32" t="s">
        <v>234</v>
      </c>
      <c r="AC54" s="29" t="s">
        <v>48</v>
      </c>
    </row>
    <row r="55" spans="1:29" ht="18.75" customHeight="1" x14ac:dyDescent="0.2">
      <c r="A55" s="8" t="s">
        <v>667</v>
      </c>
      <c r="B55" s="29" t="s">
        <v>249</v>
      </c>
      <c r="C55" s="29" t="s">
        <v>53</v>
      </c>
      <c r="D55" s="8">
        <v>2015</v>
      </c>
      <c r="E55" s="8" t="s">
        <v>625</v>
      </c>
      <c r="F55" s="237" t="s">
        <v>250</v>
      </c>
      <c r="G55" s="238" t="s">
        <v>251</v>
      </c>
      <c r="H55" s="29">
        <v>6</v>
      </c>
      <c r="I55" s="29">
        <v>4</v>
      </c>
      <c r="J55" s="29"/>
      <c r="K55" s="244">
        <v>44.64</v>
      </c>
      <c r="L55" s="248">
        <v>37.18</v>
      </c>
      <c r="M55" s="29">
        <v>14</v>
      </c>
      <c r="N55" s="270" t="s">
        <v>44</v>
      </c>
      <c r="O55" s="243"/>
      <c r="P55" s="244">
        <v>57.14</v>
      </c>
      <c r="Q55" s="248">
        <v>35.01</v>
      </c>
      <c r="R55" s="29">
        <v>14</v>
      </c>
      <c r="S55" s="29"/>
      <c r="T55" s="59">
        <f t="shared" si="12"/>
        <v>0.3461520006975074</v>
      </c>
      <c r="U55" s="29">
        <v>-1</v>
      </c>
      <c r="V55" s="238">
        <f t="shared" si="13"/>
        <v>-0.3461520006975074</v>
      </c>
      <c r="W55" s="238">
        <f t="shared" si="14"/>
        <v>-0.33606990358981303</v>
      </c>
      <c r="X55" s="238">
        <f t="shared" si="15"/>
        <v>-0.34664159754633211</v>
      </c>
      <c r="Z55" s="32">
        <v>3</v>
      </c>
      <c r="AA55" s="32" t="s">
        <v>57</v>
      </c>
      <c r="AB55" s="8" t="s">
        <v>32</v>
      </c>
      <c r="AC55" s="32" t="s">
        <v>57</v>
      </c>
    </row>
    <row r="56" spans="1:29" ht="18.75" customHeight="1" x14ac:dyDescent="0.2">
      <c r="A56" s="8" t="s">
        <v>667</v>
      </c>
      <c r="B56" s="29" t="s">
        <v>249</v>
      </c>
      <c r="C56" s="29" t="s">
        <v>60</v>
      </c>
      <c r="D56" s="8">
        <v>2017</v>
      </c>
      <c r="E56" s="8" t="s">
        <v>625</v>
      </c>
      <c r="F56" s="237" t="s">
        <v>258</v>
      </c>
      <c r="G56" s="238" t="s">
        <v>259</v>
      </c>
      <c r="H56" s="29">
        <v>7</v>
      </c>
      <c r="I56" s="29">
        <v>5</v>
      </c>
      <c r="J56" s="29"/>
      <c r="K56" s="244">
        <v>14.1</v>
      </c>
      <c r="L56" s="248">
        <v>8.5</v>
      </c>
      <c r="M56" s="29">
        <v>37</v>
      </c>
      <c r="N56" s="254">
        <v>720</v>
      </c>
      <c r="O56" s="240"/>
      <c r="P56" s="244">
        <v>10.5</v>
      </c>
      <c r="Q56" s="248">
        <v>8.3000000000000007</v>
      </c>
      <c r="R56" s="29">
        <v>30</v>
      </c>
      <c r="S56" s="29"/>
      <c r="T56" s="59">
        <f t="shared" si="12"/>
        <v>-0.42854106250850227</v>
      </c>
      <c r="U56" s="29">
        <v>1</v>
      </c>
      <c r="V56" s="238">
        <f t="shared" si="13"/>
        <v>-0.42799278275311803</v>
      </c>
      <c r="W56" s="238">
        <f t="shared" si="14"/>
        <v>-0.42303533739304333</v>
      </c>
      <c r="X56" s="238">
        <f t="shared" si="15"/>
        <v>-0.42871098292785031</v>
      </c>
      <c r="Z56" s="29">
        <v>1</v>
      </c>
      <c r="AA56" s="29" t="s">
        <v>63</v>
      </c>
      <c r="AB56" s="8" t="s">
        <v>32</v>
      </c>
      <c r="AC56" s="29" t="s">
        <v>48</v>
      </c>
    </row>
    <row r="57" spans="1:29" ht="18.75" customHeight="1" x14ac:dyDescent="0.2">
      <c r="A57" s="8" t="s">
        <v>667</v>
      </c>
      <c r="B57" s="29" t="s">
        <v>249</v>
      </c>
      <c r="C57" s="224" t="s">
        <v>60</v>
      </c>
      <c r="D57" s="159">
        <v>2017</v>
      </c>
      <c r="E57" s="159" t="s">
        <v>625</v>
      </c>
      <c r="F57" s="250" t="s">
        <v>260</v>
      </c>
      <c r="G57" s="252" t="s">
        <v>261</v>
      </c>
      <c r="H57" s="29">
        <v>7</v>
      </c>
      <c r="I57" s="224">
        <v>6</v>
      </c>
      <c r="J57" s="224"/>
      <c r="K57" s="264">
        <v>3.1</v>
      </c>
      <c r="L57" s="265">
        <v>3.82</v>
      </c>
      <c r="M57" s="224">
        <v>37</v>
      </c>
      <c r="N57" s="254">
        <v>720</v>
      </c>
      <c r="O57" s="254"/>
      <c r="P57" s="264">
        <v>1.9</v>
      </c>
      <c r="Q57" s="265">
        <v>1.9</v>
      </c>
      <c r="R57" s="224">
        <v>30</v>
      </c>
      <c r="S57" s="224"/>
      <c r="T57" s="251">
        <f t="shared" si="12"/>
        <v>-0.39776990075677027</v>
      </c>
      <c r="U57" s="224">
        <v>1</v>
      </c>
      <c r="V57" s="252">
        <f t="shared" si="13"/>
        <v>-0.38544462779809185</v>
      </c>
      <c r="W57" s="252">
        <f t="shared" si="14"/>
        <v>-0.38098001820969696</v>
      </c>
      <c r="X57" s="252">
        <f t="shared" si="15"/>
        <v>-0.62426336110546643</v>
      </c>
      <c r="Z57" s="29">
        <v>1</v>
      </c>
      <c r="AA57" s="29" t="s">
        <v>63</v>
      </c>
      <c r="AB57" s="8" t="s">
        <v>32</v>
      </c>
      <c r="AC57" s="29" t="s">
        <v>48</v>
      </c>
    </row>
    <row r="58" spans="1:29" ht="18.75" customHeight="1" x14ac:dyDescent="0.2">
      <c r="A58" s="8" t="s">
        <v>667</v>
      </c>
      <c r="B58" s="29" t="s">
        <v>249</v>
      </c>
      <c r="C58" s="224" t="s">
        <v>509</v>
      </c>
      <c r="D58" s="159">
        <v>2021</v>
      </c>
      <c r="E58" s="159" t="s">
        <v>625</v>
      </c>
      <c r="F58" s="250" t="s">
        <v>262</v>
      </c>
      <c r="G58" s="252"/>
      <c r="H58" s="224">
        <v>8</v>
      </c>
      <c r="I58" s="224">
        <v>7</v>
      </c>
      <c r="J58" s="224"/>
      <c r="K58" s="264">
        <v>21</v>
      </c>
      <c r="L58" s="265">
        <f>(29-15)/1.35</f>
        <v>10.37037037037037</v>
      </c>
      <c r="M58" s="224">
        <v>19</v>
      </c>
      <c r="N58" s="254">
        <v>890</v>
      </c>
      <c r="O58" s="254"/>
      <c r="P58" s="264">
        <v>30</v>
      </c>
      <c r="Q58" s="265">
        <f>(32-28)/1.35</f>
        <v>2.9629629629629628</v>
      </c>
      <c r="R58" s="224">
        <v>25</v>
      </c>
      <c r="S58" s="224"/>
      <c r="T58" s="251">
        <f t="shared" si="12"/>
        <v>1.180112322764076</v>
      </c>
      <c r="U58" s="224">
        <v>-1</v>
      </c>
      <c r="V58" s="252">
        <f t="shared" si="13"/>
        <v>-1.2589297601948628</v>
      </c>
      <c r="W58" s="252">
        <f t="shared" si="14"/>
        <v>-1.2363142555207036</v>
      </c>
      <c r="X58" s="252">
        <f t="shared" si="15"/>
        <v>-2.9829341317365268</v>
      </c>
      <c r="Z58" s="29">
        <v>2</v>
      </c>
      <c r="AC58" s="29"/>
    </row>
    <row r="59" spans="1:29" ht="18.75" customHeight="1" x14ac:dyDescent="0.2">
      <c r="A59" s="8" t="s">
        <v>667</v>
      </c>
      <c r="B59" s="29" t="s">
        <v>249</v>
      </c>
      <c r="C59" s="224" t="s">
        <v>72</v>
      </c>
      <c r="D59" s="159">
        <v>1994</v>
      </c>
      <c r="E59" s="159" t="s">
        <v>625</v>
      </c>
      <c r="F59" s="250" t="s">
        <v>262</v>
      </c>
      <c r="G59" s="252" t="s">
        <v>263</v>
      </c>
      <c r="H59" s="224">
        <v>9</v>
      </c>
      <c r="I59" s="224">
        <v>8</v>
      </c>
      <c r="J59" s="224"/>
      <c r="K59" s="264">
        <v>64</v>
      </c>
      <c r="L59" s="265">
        <v>10</v>
      </c>
      <c r="M59" s="224">
        <v>25</v>
      </c>
      <c r="N59" s="254">
        <v>1945</v>
      </c>
      <c r="O59" s="254"/>
      <c r="P59" s="264">
        <v>69</v>
      </c>
      <c r="Q59" s="265">
        <v>2</v>
      </c>
      <c r="R59" s="224">
        <v>15</v>
      </c>
      <c r="S59" s="224"/>
      <c r="T59" s="251">
        <f t="shared" si="12"/>
        <v>0.69337524528153649</v>
      </c>
      <c r="U59" s="224">
        <v>-1</v>
      </c>
      <c r="V59" s="252">
        <f t="shared" si="13"/>
        <v>-0.6219387571052124</v>
      </c>
      <c r="W59" s="252">
        <f t="shared" si="14"/>
        <v>-0.60958235795742677</v>
      </c>
      <c r="X59" s="252">
        <f t="shared" si="15"/>
        <v>-2.4503311258278146</v>
      </c>
      <c r="Z59" s="29">
        <v>2</v>
      </c>
      <c r="AA59" s="29" t="s">
        <v>31</v>
      </c>
      <c r="AB59" s="8" t="s">
        <v>32</v>
      </c>
      <c r="AC59" s="29" t="s">
        <v>31</v>
      </c>
    </row>
    <row r="60" spans="1:29" ht="18.75" customHeight="1" x14ac:dyDescent="0.2">
      <c r="A60" s="8" t="s">
        <v>667</v>
      </c>
      <c r="B60" s="29" t="s">
        <v>249</v>
      </c>
      <c r="C60" s="159" t="s">
        <v>77</v>
      </c>
      <c r="D60" s="159">
        <v>2020</v>
      </c>
      <c r="E60" s="159" t="s">
        <v>625</v>
      </c>
      <c r="F60" s="250" t="s">
        <v>258</v>
      </c>
      <c r="G60" s="252" t="s">
        <v>259</v>
      </c>
      <c r="H60" s="159">
        <v>10</v>
      </c>
      <c r="I60" s="224">
        <v>9</v>
      </c>
      <c r="J60" s="224"/>
      <c r="K60" s="266">
        <v>2.2999999999999998</v>
      </c>
      <c r="L60" s="267">
        <v>2.2000000000000002</v>
      </c>
      <c r="M60" s="159">
        <v>19</v>
      </c>
      <c r="N60" s="254">
        <v>1042</v>
      </c>
      <c r="O60" s="254"/>
      <c r="P60" s="266">
        <v>1.2</v>
      </c>
      <c r="Q60" s="267">
        <v>1.3</v>
      </c>
      <c r="R60" s="159">
        <v>19</v>
      </c>
      <c r="S60" s="159"/>
      <c r="T60" s="251">
        <f t="shared" si="12"/>
        <v>-0.60876698620373393</v>
      </c>
      <c r="U60" s="224">
        <v>1</v>
      </c>
      <c r="V60" s="252">
        <f t="shared" si="13"/>
        <v>-0.60876698620373393</v>
      </c>
      <c r="W60" s="252">
        <f t="shared" si="14"/>
        <v>-0.59599565082883044</v>
      </c>
      <c r="X60" s="252">
        <f t="shared" si="15"/>
        <v>-0.82840236686390523</v>
      </c>
      <c r="Z60" s="29">
        <v>1</v>
      </c>
      <c r="AA60" s="29" t="s">
        <v>63</v>
      </c>
      <c r="AB60" s="42" t="s">
        <v>44</v>
      </c>
      <c r="AC60" s="29" t="s">
        <v>48</v>
      </c>
    </row>
    <row r="61" spans="1:29" ht="18.75" customHeight="1" x14ac:dyDescent="0.2">
      <c r="A61" s="8" t="s">
        <v>667</v>
      </c>
      <c r="B61" s="29" t="s">
        <v>292</v>
      </c>
      <c r="C61" s="224" t="s">
        <v>159</v>
      </c>
      <c r="D61" s="159">
        <v>2017</v>
      </c>
      <c r="E61" s="159" t="s">
        <v>626</v>
      </c>
      <c r="F61" s="250" t="s">
        <v>293</v>
      </c>
      <c r="G61" s="224" t="s">
        <v>294</v>
      </c>
      <c r="H61" s="224">
        <v>4</v>
      </c>
      <c r="I61" s="224">
        <v>1</v>
      </c>
      <c r="J61" s="224"/>
      <c r="K61" s="264">
        <v>605</v>
      </c>
      <c r="L61" s="265">
        <v>146</v>
      </c>
      <c r="M61" s="224">
        <v>57</v>
      </c>
      <c r="N61" s="254">
        <v>655</v>
      </c>
      <c r="O61" s="254"/>
      <c r="P61" s="264">
        <v>549</v>
      </c>
      <c r="Q61" s="265">
        <v>80</v>
      </c>
      <c r="R61" s="224">
        <v>57</v>
      </c>
      <c r="S61" s="224"/>
      <c r="T61" s="251">
        <f t="shared" si="12"/>
        <v>-0.47570503539933895</v>
      </c>
      <c r="U61" s="224">
        <v>1</v>
      </c>
      <c r="V61" s="252">
        <f t="shared" si="13"/>
        <v>-0.47570503539933895</v>
      </c>
      <c r="W61" s="252">
        <f t="shared" si="14"/>
        <v>-0.47251238415504809</v>
      </c>
      <c r="X61" s="252">
        <f t="shared" si="15"/>
        <v>-0.69530201342281872</v>
      </c>
      <c r="Z61" s="29">
        <v>1</v>
      </c>
      <c r="AA61" s="29" t="s">
        <v>63</v>
      </c>
      <c r="AB61" s="8" t="s">
        <v>44</v>
      </c>
      <c r="AC61" s="29" t="s">
        <v>48</v>
      </c>
    </row>
    <row r="62" spans="1:29" ht="18.75" customHeight="1" x14ac:dyDescent="0.2">
      <c r="A62" s="8" t="s">
        <v>667</v>
      </c>
      <c r="B62" s="29" t="s">
        <v>292</v>
      </c>
      <c r="C62" s="224" t="s">
        <v>159</v>
      </c>
      <c r="D62" s="159">
        <v>2017</v>
      </c>
      <c r="E62" s="159" t="s">
        <v>626</v>
      </c>
      <c r="F62" s="250" t="s">
        <v>295</v>
      </c>
      <c r="G62" s="224" t="s">
        <v>296</v>
      </c>
      <c r="H62" s="224">
        <v>4</v>
      </c>
      <c r="I62" s="224">
        <v>2</v>
      </c>
      <c r="J62" s="224"/>
      <c r="K62" s="264">
        <v>2144</v>
      </c>
      <c r="L62" s="265">
        <v>570</v>
      </c>
      <c r="M62" s="224">
        <v>57</v>
      </c>
      <c r="N62" s="254">
        <v>655</v>
      </c>
      <c r="O62" s="254"/>
      <c r="P62" s="264">
        <v>1875</v>
      </c>
      <c r="Q62" s="265">
        <v>418</v>
      </c>
      <c r="R62" s="224">
        <v>57</v>
      </c>
      <c r="S62" s="224"/>
      <c r="T62" s="251">
        <f t="shared" si="12"/>
        <v>-0.53820240216197568</v>
      </c>
      <c r="U62" s="224">
        <v>1</v>
      </c>
      <c r="V62" s="252">
        <f t="shared" si="13"/>
        <v>-0.53820240216197568</v>
      </c>
      <c r="W62" s="252">
        <f t="shared" si="14"/>
        <v>-0.53459030550317044</v>
      </c>
      <c r="X62" s="252">
        <f t="shared" si="15"/>
        <v>-0.63922160495809377</v>
      </c>
      <c r="Z62" s="29">
        <v>1</v>
      </c>
      <c r="AA62" s="29" t="s">
        <v>63</v>
      </c>
      <c r="AB62" s="8" t="s">
        <v>44</v>
      </c>
      <c r="AC62" s="29" t="s">
        <v>48</v>
      </c>
    </row>
    <row r="63" spans="1:29" ht="18.75" customHeight="1" x14ac:dyDescent="0.2">
      <c r="A63" s="8" t="s">
        <v>667</v>
      </c>
      <c r="B63" s="29" t="s">
        <v>292</v>
      </c>
      <c r="C63" s="29" t="s">
        <v>60</v>
      </c>
      <c r="D63" s="8">
        <v>2017</v>
      </c>
      <c r="E63" s="8" t="s">
        <v>626</v>
      </c>
      <c r="F63" s="256" t="s">
        <v>621</v>
      </c>
      <c r="G63" s="29" t="s">
        <v>298</v>
      </c>
      <c r="H63" s="29">
        <v>7</v>
      </c>
      <c r="I63" s="29">
        <v>3</v>
      </c>
      <c r="J63" s="29"/>
      <c r="K63" s="244">
        <v>307</v>
      </c>
      <c r="L63" s="248">
        <v>42</v>
      </c>
      <c r="M63" s="29">
        <v>37</v>
      </c>
      <c r="N63" s="254">
        <v>720</v>
      </c>
      <c r="O63" s="240"/>
      <c r="P63" s="244">
        <v>281</v>
      </c>
      <c r="Q63" s="248">
        <v>31.3</v>
      </c>
      <c r="R63" s="29">
        <v>30</v>
      </c>
      <c r="S63" s="29"/>
      <c r="T63" s="59">
        <f t="shared" si="12"/>
        <v>-0.70197367472588612</v>
      </c>
      <c r="U63" s="29">
        <v>1</v>
      </c>
      <c r="V63" s="238">
        <f t="shared" si="13"/>
        <v>-0.69141183141224827</v>
      </c>
      <c r="W63" s="238">
        <f t="shared" si="14"/>
        <v>-0.68340320016036893</v>
      </c>
      <c r="X63" s="238">
        <f t="shared" si="15"/>
        <v>-0.82104925555404795</v>
      </c>
      <c r="Z63" s="29">
        <v>1</v>
      </c>
      <c r="AA63" s="29" t="s">
        <v>63</v>
      </c>
      <c r="AB63" s="8" t="s">
        <v>32</v>
      </c>
      <c r="AC63" s="29" t="s">
        <v>48</v>
      </c>
    </row>
    <row r="64" spans="1:29" ht="18.75" customHeight="1" x14ac:dyDescent="0.2">
      <c r="A64" s="8" t="s">
        <v>667</v>
      </c>
      <c r="B64" s="29" t="s">
        <v>292</v>
      </c>
      <c r="C64" s="29" t="s">
        <v>60</v>
      </c>
      <c r="D64" s="8">
        <v>2017</v>
      </c>
      <c r="E64" s="8" t="s">
        <v>626</v>
      </c>
      <c r="F64" s="237" t="s">
        <v>299</v>
      </c>
      <c r="G64" s="29" t="s">
        <v>300</v>
      </c>
      <c r="H64" s="29">
        <v>7</v>
      </c>
      <c r="I64" s="29">
        <v>4</v>
      </c>
      <c r="J64" s="29"/>
      <c r="K64" s="244">
        <v>438</v>
      </c>
      <c r="L64" s="248">
        <v>70.599999999999994</v>
      </c>
      <c r="M64" s="29">
        <v>37</v>
      </c>
      <c r="N64" s="254">
        <v>720</v>
      </c>
      <c r="O64" s="240"/>
      <c r="P64" s="244">
        <v>407</v>
      </c>
      <c r="Q64" s="248">
        <v>72.2</v>
      </c>
      <c r="R64" s="29">
        <v>30</v>
      </c>
      <c r="S64" s="29"/>
      <c r="T64" s="59">
        <f t="shared" si="12"/>
        <v>-0.43414641886282429</v>
      </c>
      <c r="U64" s="29">
        <v>1</v>
      </c>
      <c r="V64" s="238">
        <f t="shared" si="13"/>
        <v>-0.43467115985094928</v>
      </c>
      <c r="W64" s="238">
        <f t="shared" si="14"/>
        <v>-0.42963635877159467</v>
      </c>
      <c r="X64" s="238">
        <f t="shared" si="15"/>
        <v>-0.42438956566380392</v>
      </c>
      <c r="Z64" s="29">
        <v>1</v>
      </c>
      <c r="AA64" s="29" t="s">
        <v>63</v>
      </c>
      <c r="AB64" s="8" t="s">
        <v>32</v>
      </c>
      <c r="AC64" s="29" t="s">
        <v>48</v>
      </c>
    </row>
    <row r="65" spans="1:29" ht="18.75" customHeight="1" x14ac:dyDescent="0.2">
      <c r="A65" s="8" t="s">
        <v>667</v>
      </c>
      <c r="B65" s="29" t="s">
        <v>292</v>
      </c>
      <c r="C65" s="29" t="s">
        <v>60</v>
      </c>
      <c r="D65" s="8">
        <v>2017</v>
      </c>
      <c r="E65" s="8" t="s">
        <v>626</v>
      </c>
      <c r="F65" s="237" t="s">
        <v>301</v>
      </c>
      <c r="G65" s="29" t="s">
        <v>301</v>
      </c>
      <c r="H65" s="29">
        <v>7</v>
      </c>
      <c r="I65" s="29">
        <v>5</v>
      </c>
      <c r="J65" s="29"/>
      <c r="K65" s="244">
        <v>606</v>
      </c>
      <c r="L65" s="248">
        <v>167.6</v>
      </c>
      <c r="M65" s="29">
        <v>37</v>
      </c>
      <c r="N65" s="254">
        <v>720</v>
      </c>
      <c r="O65" s="240"/>
      <c r="P65" s="244">
        <v>498</v>
      </c>
      <c r="Q65" s="248">
        <v>71.7</v>
      </c>
      <c r="R65" s="29">
        <v>30</v>
      </c>
      <c r="S65" s="29"/>
      <c r="T65" s="59">
        <f t="shared" si="12"/>
        <v>-0.83785590572546365</v>
      </c>
      <c r="U65" s="29">
        <v>1</v>
      </c>
      <c r="V65" s="238">
        <f t="shared" si="13"/>
        <v>-0.80833628560573023</v>
      </c>
      <c r="W65" s="238">
        <f t="shared" si="14"/>
        <v>-0.79897331704659047</v>
      </c>
      <c r="X65" s="238">
        <f t="shared" si="15"/>
        <v>-1.4888289365276812</v>
      </c>
      <c r="Z65" s="29">
        <v>1</v>
      </c>
      <c r="AA65" s="29" t="s">
        <v>63</v>
      </c>
      <c r="AB65" s="8" t="s">
        <v>32</v>
      </c>
      <c r="AC65" s="29" t="s">
        <v>48</v>
      </c>
    </row>
    <row r="66" spans="1:29" ht="18.75" customHeight="1" x14ac:dyDescent="0.2">
      <c r="A66" s="8" t="s">
        <v>667</v>
      </c>
      <c r="B66" s="29" t="s">
        <v>292</v>
      </c>
      <c r="C66" s="29" t="s">
        <v>60</v>
      </c>
      <c r="D66" s="8">
        <v>2017</v>
      </c>
      <c r="E66" s="8" t="s">
        <v>626</v>
      </c>
      <c r="F66" s="237" t="s">
        <v>302</v>
      </c>
      <c r="G66" s="29" t="s">
        <v>302</v>
      </c>
      <c r="H66" s="29">
        <v>7</v>
      </c>
      <c r="I66" s="29">
        <v>6</v>
      </c>
      <c r="J66" s="29"/>
      <c r="K66" s="244">
        <v>1008</v>
      </c>
      <c r="L66" s="248">
        <v>239.7</v>
      </c>
      <c r="M66" s="29">
        <v>37</v>
      </c>
      <c r="N66" s="254">
        <v>720</v>
      </c>
      <c r="O66" s="240"/>
      <c r="P66" s="244">
        <v>841</v>
      </c>
      <c r="Q66" s="248">
        <v>126.3</v>
      </c>
      <c r="R66" s="29">
        <v>30</v>
      </c>
      <c r="S66" s="29"/>
      <c r="T66" s="59">
        <f t="shared" si="12"/>
        <v>-0.87168670832676065</v>
      </c>
      <c r="U66" s="29">
        <v>1</v>
      </c>
      <c r="V66" s="238">
        <f t="shared" si="13"/>
        <v>-0.84630228046477529</v>
      </c>
      <c r="W66" s="238">
        <f t="shared" si="14"/>
        <v>-0.83649955134742271</v>
      </c>
      <c r="X66" s="238">
        <f t="shared" si="15"/>
        <v>-1.306932993393801</v>
      </c>
      <c r="Z66" s="29">
        <v>1</v>
      </c>
      <c r="AA66" s="29" t="s">
        <v>63</v>
      </c>
      <c r="AB66" s="8" t="s">
        <v>32</v>
      </c>
      <c r="AC66" s="29" t="s">
        <v>48</v>
      </c>
    </row>
    <row r="67" spans="1:29" ht="18.75" customHeight="1" x14ac:dyDescent="0.2">
      <c r="A67" s="8" t="s">
        <v>667</v>
      </c>
      <c r="B67" s="29" t="s">
        <v>292</v>
      </c>
      <c r="C67" s="29" t="s">
        <v>72</v>
      </c>
      <c r="D67" s="8">
        <v>1994</v>
      </c>
      <c r="E67" s="8" t="s">
        <v>626</v>
      </c>
      <c r="F67" s="237" t="s">
        <v>303</v>
      </c>
      <c r="G67" s="29" t="s">
        <v>304</v>
      </c>
      <c r="H67" s="29">
        <v>9</v>
      </c>
      <c r="I67" s="29">
        <v>7</v>
      </c>
      <c r="J67" s="29"/>
      <c r="K67" s="244">
        <v>461</v>
      </c>
      <c r="L67" s="248">
        <v>132</v>
      </c>
      <c r="M67" s="29">
        <v>25</v>
      </c>
      <c r="N67" s="254">
        <v>1945</v>
      </c>
      <c r="O67" s="240"/>
      <c r="P67" s="244">
        <v>395</v>
      </c>
      <c r="Q67" s="248">
        <v>48</v>
      </c>
      <c r="R67" s="29">
        <v>15</v>
      </c>
      <c r="S67" s="29"/>
      <c r="T67" s="59">
        <f t="shared" si="12"/>
        <v>-0.66453430266319469</v>
      </c>
      <c r="U67" s="29">
        <v>1</v>
      </c>
      <c r="V67" s="238">
        <f t="shared" si="13"/>
        <v>-0.60620723542054067</v>
      </c>
      <c r="W67" s="238">
        <f t="shared" si="14"/>
        <v>-0.59416338306119221</v>
      </c>
      <c r="X67" s="238">
        <f t="shared" si="15"/>
        <v>-1.3476821192052981</v>
      </c>
      <c r="Z67" s="29">
        <v>2</v>
      </c>
      <c r="AA67" s="29" t="s">
        <v>31</v>
      </c>
      <c r="AB67" s="8" t="s">
        <v>32</v>
      </c>
      <c r="AC67" s="29" t="s">
        <v>31</v>
      </c>
    </row>
    <row r="68" spans="1:29" ht="18.75" customHeight="1" x14ac:dyDescent="0.2">
      <c r="A68" s="8" t="s">
        <v>667</v>
      </c>
      <c r="B68" s="29" t="s">
        <v>292</v>
      </c>
      <c r="C68" s="8" t="s">
        <v>77</v>
      </c>
      <c r="D68" s="8">
        <v>2020</v>
      </c>
      <c r="E68" s="8" t="s">
        <v>626</v>
      </c>
      <c r="F68" s="237" t="s">
        <v>299</v>
      </c>
      <c r="G68" s="29" t="s">
        <v>300</v>
      </c>
      <c r="H68" s="159">
        <v>10</v>
      </c>
      <c r="I68" s="29">
        <v>8</v>
      </c>
      <c r="J68" s="29"/>
      <c r="K68" s="242">
        <v>483</v>
      </c>
      <c r="L68" s="57">
        <v>104</v>
      </c>
      <c r="M68" s="8">
        <v>19</v>
      </c>
      <c r="N68" s="254">
        <v>1042</v>
      </c>
      <c r="O68" s="240"/>
      <c r="P68" s="242">
        <v>430</v>
      </c>
      <c r="Q68" s="57">
        <v>58</v>
      </c>
      <c r="R68" s="8">
        <v>19</v>
      </c>
      <c r="T68" s="59">
        <f t="shared" si="12"/>
        <v>-0.62943770101896013</v>
      </c>
      <c r="U68" s="29">
        <v>1</v>
      </c>
      <c r="V68" s="238">
        <f t="shared" si="13"/>
        <v>-0.62943770101896013</v>
      </c>
      <c r="W68" s="238">
        <f t="shared" si="14"/>
        <v>-0.6162327142842966</v>
      </c>
      <c r="X68" s="238">
        <f t="shared" si="15"/>
        <v>-0.89462261876054994</v>
      </c>
      <c r="Z68" s="29">
        <v>1</v>
      </c>
      <c r="AA68" s="29" t="s">
        <v>63</v>
      </c>
      <c r="AB68" s="8" t="s">
        <v>44</v>
      </c>
      <c r="AC68" s="29" t="s">
        <v>48</v>
      </c>
    </row>
    <row r="69" spans="1:29" ht="18.75" customHeight="1" x14ac:dyDescent="0.2">
      <c r="A69" s="8" t="s">
        <v>667</v>
      </c>
      <c r="B69" s="29" t="s">
        <v>292</v>
      </c>
      <c r="C69" s="8" t="s">
        <v>77</v>
      </c>
      <c r="D69" s="8">
        <v>2020</v>
      </c>
      <c r="E69" s="8" t="s">
        <v>626</v>
      </c>
      <c r="F69" s="237" t="s">
        <v>301</v>
      </c>
      <c r="G69" s="29" t="s">
        <v>301</v>
      </c>
      <c r="H69" s="159">
        <v>10</v>
      </c>
      <c r="I69" s="29">
        <v>9</v>
      </c>
      <c r="J69" s="29"/>
      <c r="K69" s="242">
        <v>752</v>
      </c>
      <c r="L69" s="57">
        <v>262</v>
      </c>
      <c r="M69" s="8">
        <v>19</v>
      </c>
      <c r="N69" s="254">
        <v>1042</v>
      </c>
      <c r="O69" s="240"/>
      <c r="P69" s="242">
        <v>586</v>
      </c>
      <c r="Q69" s="57">
        <v>113</v>
      </c>
      <c r="R69" s="8">
        <v>19</v>
      </c>
      <c r="T69" s="59">
        <f t="shared" si="12"/>
        <v>-0.82276575383526052</v>
      </c>
      <c r="U69" s="29">
        <v>1</v>
      </c>
      <c r="V69" s="238">
        <f t="shared" si="13"/>
        <v>-0.82276575383526052</v>
      </c>
      <c r="W69" s="238">
        <f t="shared" si="14"/>
        <v>-0.80550493382473065</v>
      </c>
      <c r="X69" s="238">
        <f t="shared" si="15"/>
        <v>-1.4382078098892259</v>
      </c>
      <c r="Z69" s="29">
        <v>1</v>
      </c>
      <c r="AA69" s="29" t="s">
        <v>63</v>
      </c>
      <c r="AB69" s="8" t="s">
        <v>44</v>
      </c>
      <c r="AC69" s="29" t="s">
        <v>48</v>
      </c>
    </row>
    <row r="70" spans="1:29" ht="18.75" customHeight="1" x14ac:dyDescent="0.2">
      <c r="A70" s="8" t="s">
        <v>667</v>
      </c>
      <c r="B70" s="29" t="s">
        <v>292</v>
      </c>
      <c r="C70" s="8" t="s">
        <v>77</v>
      </c>
      <c r="D70" s="8">
        <v>2020</v>
      </c>
      <c r="E70" s="8" t="s">
        <v>626</v>
      </c>
      <c r="F70" s="237" t="s">
        <v>302</v>
      </c>
      <c r="G70" s="29" t="s">
        <v>302</v>
      </c>
      <c r="H70" s="159">
        <v>10</v>
      </c>
      <c r="I70" s="29">
        <v>10</v>
      </c>
      <c r="J70" s="29"/>
      <c r="K70" s="242">
        <v>1152</v>
      </c>
      <c r="L70" s="57">
        <v>237</v>
      </c>
      <c r="M70" s="8">
        <v>19</v>
      </c>
      <c r="N70" s="254">
        <v>1042</v>
      </c>
      <c r="O70" s="240"/>
      <c r="P70" s="242">
        <v>938</v>
      </c>
      <c r="Q70" s="57">
        <v>203</v>
      </c>
      <c r="R70" s="8">
        <v>19</v>
      </c>
      <c r="T70" s="59">
        <f t="shared" si="12"/>
        <v>-0.9698361004090521</v>
      </c>
      <c r="U70" s="29">
        <v>1</v>
      </c>
      <c r="V70" s="238">
        <f t="shared" si="13"/>
        <v>-0.9698361004090521</v>
      </c>
      <c r="W70" s="238">
        <f t="shared" si="14"/>
        <v>-0.94948988851235872</v>
      </c>
      <c r="X70" s="238">
        <f t="shared" si="15"/>
        <v>-1.0320713768989631</v>
      </c>
      <c r="Z70" s="29">
        <v>1</v>
      </c>
      <c r="AA70" s="29" t="s">
        <v>63</v>
      </c>
      <c r="AB70" s="8" t="s">
        <v>44</v>
      </c>
      <c r="AC70" s="29" t="s">
        <v>48</v>
      </c>
    </row>
    <row r="71" spans="1:29" ht="18.75" customHeight="1" x14ac:dyDescent="0.2">
      <c r="A71" s="8" t="s">
        <v>667</v>
      </c>
      <c r="B71" s="29" t="s">
        <v>214</v>
      </c>
      <c r="C71" s="29" t="s">
        <v>159</v>
      </c>
      <c r="D71" s="8">
        <v>2017</v>
      </c>
      <c r="E71" s="8" t="s">
        <v>626</v>
      </c>
      <c r="F71" s="237" t="s">
        <v>221</v>
      </c>
      <c r="G71" s="238" t="s">
        <v>222</v>
      </c>
      <c r="H71" s="29">
        <v>4</v>
      </c>
      <c r="I71" s="29">
        <v>3</v>
      </c>
      <c r="J71" s="29"/>
      <c r="K71" s="244">
        <v>1705</v>
      </c>
      <c r="L71" s="248">
        <v>457</v>
      </c>
      <c r="M71" s="29">
        <v>57</v>
      </c>
      <c r="N71" s="254">
        <v>655</v>
      </c>
      <c r="O71" s="240"/>
      <c r="P71" s="244">
        <v>1539</v>
      </c>
      <c r="Q71" s="248">
        <v>318</v>
      </c>
      <c r="R71" s="29">
        <v>57</v>
      </c>
      <c r="S71" s="29"/>
      <c r="T71" s="59">
        <f t="shared" si="12"/>
        <v>-0.42165878460045436</v>
      </c>
      <c r="U71" s="29">
        <v>1</v>
      </c>
      <c r="V71" s="238">
        <f t="shared" si="13"/>
        <v>-0.42165878460045436</v>
      </c>
      <c r="W71" s="238">
        <f t="shared" si="14"/>
        <v>-0.41882885987159224</v>
      </c>
      <c r="X71" s="238">
        <f t="shared" si="15"/>
        <v>-0.51850913849141023</v>
      </c>
      <c r="Z71" s="29">
        <v>1</v>
      </c>
      <c r="AA71" s="29" t="s">
        <v>63</v>
      </c>
      <c r="AB71" s="8" t="s">
        <v>32</v>
      </c>
      <c r="AC71" s="29" t="s">
        <v>48</v>
      </c>
    </row>
    <row r="72" spans="1:29" s="159" customFormat="1" ht="18.75" customHeight="1" x14ac:dyDescent="0.2">
      <c r="A72" s="8" t="s">
        <v>667</v>
      </c>
      <c r="B72" s="224" t="s">
        <v>214</v>
      </c>
      <c r="C72" s="224" t="s">
        <v>28</v>
      </c>
      <c r="D72" s="159">
        <v>2004</v>
      </c>
      <c r="E72" s="8" t="s">
        <v>626</v>
      </c>
      <c r="F72" s="250" t="s">
        <v>215</v>
      </c>
      <c r="G72" s="252" t="s">
        <v>216</v>
      </c>
      <c r="H72" s="224">
        <v>1</v>
      </c>
      <c r="I72" s="224">
        <v>1</v>
      </c>
      <c r="J72" s="224"/>
      <c r="K72" s="264">
        <v>13.53</v>
      </c>
      <c r="L72" s="265">
        <v>3.25</v>
      </c>
      <c r="M72" s="224">
        <v>20</v>
      </c>
      <c r="N72" s="254">
        <v>858.5</v>
      </c>
      <c r="O72" s="254"/>
      <c r="P72" s="264">
        <v>17.62</v>
      </c>
      <c r="Q72" s="265">
        <v>3.57</v>
      </c>
      <c r="R72" s="224">
        <v>20</v>
      </c>
      <c r="S72" s="224"/>
      <c r="T72" s="251">
        <f t="shared" ref="T72:T80" si="16">(P72-K72)/SQRT((Q72^2+L72^2)/2)</f>
        <v>1.1980953733222595</v>
      </c>
      <c r="U72" s="224">
        <v>-1</v>
      </c>
      <c r="V72" s="252">
        <f t="shared" ref="V72:V80" si="17">(P72-K72)/SQRT((((R72-1)*Q72^2) + ((M72-1)*L72^2))/(R72+M72-2))*U72</f>
        <v>-1.1980953733222595</v>
      </c>
      <c r="W72" s="252">
        <f t="shared" ref="W72:W80" si="18">V72*(1-(3/(4*(M72+R72-2) -1)))</f>
        <v>-1.1742921539847311</v>
      </c>
      <c r="X72" s="252">
        <f t="shared" ref="X72:X80" si="19">((P72-K72)/Q72)*U72 * (1-(3/(4*(M72+R72-2)-1)))</f>
        <v>-1.1228968408555482</v>
      </c>
      <c r="Y72" s="277">
        <f>V81-(V82*2)</f>
        <v>0</v>
      </c>
      <c r="Z72" s="224">
        <v>2</v>
      </c>
      <c r="AA72" s="224" t="s">
        <v>31</v>
      </c>
      <c r="AB72" s="159" t="s">
        <v>32</v>
      </c>
      <c r="AC72" s="224" t="s">
        <v>31</v>
      </c>
    </row>
    <row r="73" spans="1:29" s="159" customFormat="1" ht="18.75" customHeight="1" x14ac:dyDescent="0.2">
      <c r="A73" s="8" t="s">
        <v>667</v>
      </c>
      <c r="B73" s="224" t="s">
        <v>214</v>
      </c>
      <c r="C73" s="224" t="s">
        <v>159</v>
      </c>
      <c r="D73" s="159">
        <v>2017</v>
      </c>
      <c r="E73" s="8" t="s">
        <v>626</v>
      </c>
      <c r="F73" s="250" t="s">
        <v>219</v>
      </c>
      <c r="G73" s="252" t="s">
        <v>220</v>
      </c>
      <c r="H73" s="224">
        <v>2</v>
      </c>
      <c r="I73" s="224">
        <v>2</v>
      </c>
      <c r="J73" s="224"/>
      <c r="K73" s="264">
        <v>4.5</v>
      </c>
      <c r="L73" s="265">
        <v>2.6</v>
      </c>
      <c r="M73" s="224">
        <v>57</v>
      </c>
      <c r="N73" s="254">
        <v>655</v>
      </c>
      <c r="O73" s="254"/>
      <c r="P73" s="264">
        <v>3.9</v>
      </c>
      <c r="Q73" s="265">
        <v>2.6</v>
      </c>
      <c r="R73" s="224">
        <v>57</v>
      </c>
      <c r="S73" s="224"/>
      <c r="T73" s="251">
        <f t="shared" si="16"/>
        <v>-0.23076923076923078</v>
      </c>
      <c r="U73" s="224">
        <v>1</v>
      </c>
      <c r="V73" s="252">
        <f t="shared" si="17"/>
        <v>-0.23076923076923078</v>
      </c>
      <c r="W73" s="252">
        <f t="shared" si="18"/>
        <v>-0.22922044398554467</v>
      </c>
      <c r="X73" s="252">
        <f t="shared" si="19"/>
        <v>-0.22922044398554467</v>
      </c>
      <c r="Y73" s="253"/>
      <c r="Z73" s="224">
        <v>1</v>
      </c>
      <c r="AA73" s="224" t="s">
        <v>63</v>
      </c>
      <c r="AB73" s="159" t="s">
        <v>32</v>
      </c>
      <c r="AC73" s="224" t="s">
        <v>48</v>
      </c>
    </row>
    <row r="74" spans="1:29" s="159" customFormat="1" ht="18.75" customHeight="1" x14ac:dyDescent="0.2">
      <c r="A74" s="8" t="s">
        <v>667</v>
      </c>
      <c r="B74" s="224" t="s">
        <v>214</v>
      </c>
      <c r="C74" s="224" t="s">
        <v>159</v>
      </c>
      <c r="D74" s="159">
        <v>2017</v>
      </c>
      <c r="E74" s="8" t="s">
        <v>626</v>
      </c>
      <c r="F74" s="250" t="s">
        <v>221</v>
      </c>
      <c r="G74" s="252" t="s">
        <v>222</v>
      </c>
      <c r="H74" s="224">
        <v>2</v>
      </c>
      <c r="I74" s="224">
        <v>3</v>
      </c>
      <c r="J74" s="224"/>
      <c r="K74" s="264">
        <v>1705</v>
      </c>
      <c r="L74" s="265">
        <v>457</v>
      </c>
      <c r="M74" s="224">
        <v>57</v>
      </c>
      <c r="N74" s="254">
        <v>655</v>
      </c>
      <c r="O74" s="254"/>
      <c r="P74" s="264">
        <v>1539</v>
      </c>
      <c r="Q74" s="265">
        <v>318</v>
      </c>
      <c r="R74" s="224">
        <v>57</v>
      </c>
      <c r="S74" s="224"/>
      <c r="T74" s="251">
        <f t="shared" si="16"/>
        <v>-0.42165878460045436</v>
      </c>
      <c r="U74" s="224">
        <v>1</v>
      </c>
      <c r="V74" s="252">
        <f t="shared" si="17"/>
        <v>-0.42165878460045436</v>
      </c>
      <c r="W74" s="252">
        <f t="shared" si="18"/>
        <v>-0.41882885987159224</v>
      </c>
      <c r="X74" s="252">
        <f t="shared" si="19"/>
        <v>-0.51850913849141023</v>
      </c>
      <c r="Y74" s="253"/>
      <c r="Z74" s="224">
        <v>1</v>
      </c>
      <c r="AA74" s="224" t="s">
        <v>63</v>
      </c>
      <c r="AB74" s="159" t="s">
        <v>32</v>
      </c>
      <c r="AC74" s="224" t="s">
        <v>48</v>
      </c>
    </row>
    <row r="75" spans="1:29" s="159" customFormat="1" ht="18.75" customHeight="1" x14ac:dyDescent="0.2">
      <c r="A75" s="8" t="s">
        <v>667</v>
      </c>
      <c r="B75" s="224" t="s">
        <v>214</v>
      </c>
      <c r="C75" s="224" t="s">
        <v>159</v>
      </c>
      <c r="D75" s="159">
        <v>2017</v>
      </c>
      <c r="E75" s="8" t="s">
        <v>626</v>
      </c>
      <c r="F75" s="250" t="s">
        <v>223</v>
      </c>
      <c r="G75" s="252" t="s">
        <v>224</v>
      </c>
      <c r="H75" s="224">
        <v>2</v>
      </c>
      <c r="I75" s="224">
        <v>4</v>
      </c>
      <c r="J75" s="224"/>
      <c r="K75" s="264">
        <v>98.6</v>
      </c>
      <c r="L75" s="265">
        <v>5.6</v>
      </c>
      <c r="M75" s="224">
        <v>57</v>
      </c>
      <c r="N75" s="254">
        <v>655</v>
      </c>
      <c r="O75" s="254"/>
      <c r="P75" s="264">
        <v>100.7</v>
      </c>
      <c r="Q75" s="265">
        <v>3.5</v>
      </c>
      <c r="R75" s="224">
        <v>57</v>
      </c>
      <c r="S75" s="224"/>
      <c r="T75" s="251">
        <f t="shared" si="16"/>
        <v>0.44971901339751869</v>
      </c>
      <c r="U75" s="224">
        <v>-1</v>
      </c>
      <c r="V75" s="252">
        <f t="shared" si="17"/>
        <v>-0.44971901339751869</v>
      </c>
      <c r="W75" s="252">
        <f t="shared" si="18"/>
        <v>-0.4467007649854548</v>
      </c>
      <c r="X75" s="252">
        <f t="shared" si="19"/>
        <v>-0.59597315436241849</v>
      </c>
      <c r="Y75" s="253"/>
      <c r="Z75" s="224">
        <v>1</v>
      </c>
      <c r="AA75" s="224" t="s">
        <v>63</v>
      </c>
      <c r="AB75" s="159" t="s">
        <v>32</v>
      </c>
      <c r="AC75" s="224" t="s">
        <v>48</v>
      </c>
    </row>
    <row r="76" spans="1:29" s="159" customFormat="1" ht="18.75" customHeight="1" x14ac:dyDescent="0.2">
      <c r="A76" s="8" t="s">
        <v>667</v>
      </c>
      <c r="B76" s="224" t="s">
        <v>214</v>
      </c>
      <c r="C76" s="224" t="s">
        <v>41</v>
      </c>
      <c r="D76" s="159">
        <v>2017</v>
      </c>
      <c r="E76" s="8" t="s">
        <v>626</v>
      </c>
      <c r="F76" s="250" t="s">
        <v>225</v>
      </c>
      <c r="G76" s="252" t="s">
        <v>226</v>
      </c>
      <c r="H76" s="224">
        <v>3</v>
      </c>
      <c r="I76" s="224">
        <v>5</v>
      </c>
      <c r="J76" s="224"/>
      <c r="K76" s="264">
        <v>94</v>
      </c>
      <c r="L76" s="265">
        <v>19.399999999999999</v>
      </c>
      <c r="M76" s="224">
        <v>12</v>
      </c>
      <c r="N76" s="270" t="s">
        <v>44</v>
      </c>
      <c r="O76" s="270"/>
      <c r="P76" s="264">
        <v>96</v>
      </c>
      <c r="Q76" s="265">
        <v>11.8</v>
      </c>
      <c r="R76" s="224">
        <v>12</v>
      </c>
      <c r="S76" s="224"/>
      <c r="T76" s="251">
        <f t="shared" si="16"/>
        <v>0.1245628508079212</v>
      </c>
      <c r="U76" s="224">
        <v>-1</v>
      </c>
      <c r="V76" s="252">
        <f t="shared" si="17"/>
        <v>-0.1245628508079212</v>
      </c>
      <c r="W76" s="252">
        <f t="shared" si="18"/>
        <v>-0.12026758009040668</v>
      </c>
      <c r="X76" s="252">
        <f t="shared" si="19"/>
        <v>-0.1636469900642899</v>
      </c>
      <c r="Y76" s="253"/>
      <c r="Z76" s="224">
        <v>1</v>
      </c>
      <c r="AA76" s="260" t="s">
        <v>46</v>
      </c>
      <c r="AB76" s="159" t="s">
        <v>32</v>
      </c>
      <c r="AC76" s="260" t="s">
        <v>48</v>
      </c>
    </row>
    <row r="77" spans="1:29" s="159" customFormat="1" ht="18.75" customHeight="1" x14ac:dyDescent="0.2">
      <c r="A77" s="8" t="s">
        <v>667</v>
      </c>
      <c r="B77" s="224" t="s">
        <v>214</v>
      </c>
      <c r="C77" s="224" t="s">
        <v>60</v>
      </c>
      <c r="D77" s="159">
        <v>2017</v>
      </c>
      <c r="E77" s="8" t="s">
        <v>626</v>
      </c>
      <c r="F77" s="250" t="s">
        <v>227</v>
      </c>
      <c r="G77" s="252" t="s">
        <v>227</v>
      </c>
      <c r="H77" s="224">
        <v>4</v>
      </c>
      <c r="I77" s="224">
        <v>6</v>
      </c>
      <c r="J77" s="224"/>
      <c r="K77" s="264">
        <v>5.3</v>
      </c>
      <c r="L77" s="265">
        <v>0.9</v>
      </c>
      <c r="M77" s="224">
        <v>37</v>
      </c>
      <c r="N77" s="254">
        <v>720</v>
      </c>
      <c r="O77" s="254"/>
      <c r="P77" s="264">
        <v>5.7</v>
      </c>
      <c r="Q77" s="265">
        <v>0.9</v>
      </c>
      <c r="R77" s="224">
        <v>30</v>
      </c>
      <c r="S77" s="224"/>
      <c r="T77" s="251">
        <f t="shared" si="16"/>
        <v>0.44444444444444481</v>
      </c>
      <c r="U77" s="224">
        <v>-1</v>
      </c>
      <c r="V77" s="252">
        <f t="shared" si="17"/>
        <v>-0.44444444444444481</v>
      </c>
      <c r="W77" s="252">
        <f t="shared" si="18"/>
        <v>-0.43929643929643969</v>
      </c>
      <c r="X77" s="252">
        <f t="shared" si="19"/>
        <v>-0.43929643929643969</v>
      </c>
      <c r="Y77" s="253"/>
      <c r="Z77" s="224">
        <v>1</v>
      </c>
      <c r="AA77" s="224" t="s">
        <v>63</v>
      </c>
      <c r="AB77" s="159" t="s">
        <v>32</v>
      </c>
      <c r="AC77" s="224" t="s">
        <v>48</v>
      </c>
    </row>
    <row r="78" spans="1:29" s="159" customFormat="1" ht="18.75" customHeight="1" x14ac:dyDescent="0.2">
      <c r="A78" s="8" t="s">
        <v>667</v>
      </c>
      <c r="B78" s="224" t="s">
        <v>214</v>
      </c>
      <c r="C78" s="159" t="s">
        <v>77</v>
      </c>
      <c r="D78" s="159">
        <v>2020</v>
      </c>
      <c r="E78" s="8" t="s">
        <v>626</v>
      </c>
      <c r="F78" s="250" t="s">
        <v>227</v>
      </c>
      <c r="G78" s="252" t="s">
        <v>227</v>
      </c>
      <c r="H78" s="159">
        <v>5</v>
      </c>
      <c r="I78" s="224">
        <v>7</v>
      </c>
      <c r="J78" s="224"/>
      <c r="K78" s="266">
        <v>5.9</v>
      </c>
      <c r="L78" s="267">
        <v>1</v>
      </c>
      <c r="M78" s="159">
        <v>19</v>
      </c>
      <c r="N78" s="254">
        <v>1042</v>
      </c>
      <c r="O78" s="254"/>
      <c r="P78" s="266">
        <v>5</v>
      </c>
      <c r="Q78" s="267">
        <v>1.1000000000000001</v>
      </c>
      <c r="R78" s="159">
        <v>19</v>
      </c>
      <c r="T78" s="251">
        <f t="shared" si="16"/>
        <v>-0.85617268947808967</v>
      </c>
      <c r="U78" s="224">
        <v>-1</v>
      </c>
      <c r="V78" s="252">
        <f t="shared" si="17"/>
        <v>0.85617268947808967</v>
      </c>
      <c r="W78" s="252">
        <f t="shared" si="18"/>
        <v>0.8382110246638641</v>
      </c>
      <c r="X78" s="252">
        <f t="shared" si="19"/>
        <v>0.80101716465352857</v>
      </c>
      <c r="Y78" s="253"/>
      <c r="Z78" s="224"/>
      <c r="AA78" s="224"/>
      <c r="AC78" s="224"/>
    </row>
    <row r="79" spans="1:29" s="159" customFormat="1" ht="18.75" customHeight="1" x14ac:dyDescent="0.2">
      <c r="A79" s="8" t="s">
        <v>667</v>
      </c>
      <c r="B79" s="224" t="s">
        <v>214</v>
      </c>
      <c r="C79" s="224" t="s">
        <v>76</v>
      </c>
      <c r="D79" s="159">
        <v>1996</v>
      </c>
      <c r="E79" s="8" t="s">
        <v>626</v>
      </c>
      <c r="F79" s="250" t="s">
        <v>217</v>
      </c>
      <c r="G79" s="224" t="s">
        <v>218</v>
      </c>
      <c r="H79" s="224">
        <v>6</v>
      </c>
      <c r="I79" s="224">
        <v>8</v>
      </c>
      <c r="J79" s="224"/>
      <c r="K79" s="266">
        <v>9.3000000000000007</v>
      </c>
      <c r="L79" s="267">
        <v>3.65</v>
      </c>
      <c r="M79" s="159">
        <v>11</v>
      </c>
      <c r="N79" s="271">
        <v>1545</v>
      </c>
      <c r="O79" s="271"/>
      <c r="P79" s="266">
        <v>4.68</v>
      </c>
      <c r="Q79" s="267">
        <v>2.5299999999999998</v>
      </c>
      <c r="R79" s="159">
        <v>22</v>
      </c>
      <c r="S79" s="224"/>
      <c r="T79" s="251">
        <f t="shared" si="16"/>
        <v>-1.4711809142647732</v>
      </c>
      <c r="U79" s="224">
        <v>1</v>
      </c>
      <c r="V79" s="252">
        <f t="shared" si="17"/>
        <v>-1.572331617748068</v>
      </c>
      <c r="W79" s="252">
        <f t="shared" si="18"/>
        <v>-1.533982066095676</v>
      </c>
      <c r="X79" s="252">
        <f t="shared" si="19"/>
        <v>-1.7815482502651119</v>
      </c>
      <c r="Y79" s="253"/>
      <c r="Z79" s="260" t="s">
        <v>75</v>
      </c>
      <c r="AA79" s="260" t="s">
        <v>75</v>
      </c>
      <c r="AB79" s="158" t="s">
        <v>44</v>
      </c>
      <c r="AC79" s="260" t="s">
        <v>75</v>
      </c>
    </row>
    <row r="80" spans="1:29" s="159" customFormat="1" ht="18" customHeight="1" x14ac:dyDescent="0.2">
      <c r="A80" s="8" t="s">
        <v>667</v>
      </c>
      <c r="B80" s="224" t="s">
        <v>214</v>
      </c>
      <c r="C80" s="224" t="s">
        <v>73</v>
      </c>
      <c r="D80" s="159">
        <v>1996</v>
      </c>
      <c r="E80" s="8" t="s">
        <v>626</v>
      </c>
      <c r="F80" s="250" t="s">
        <v>217</v>
      </c>
      <c r="G80" s="224" t="s">
        <v>218</v>
      </c>
      <c r="H80" s="224">
        <v>7</v>
      </c>
      <c r="I80" s="224">
        <v>9</v>
      </c>
      <c r="J80" s="224"/>
      <c r="K80" s="266">
        <v>8.9</v>
      </c>
      <c r="L80" s="267">
        <v>4.0599999999999996</v>
      </c>
      <c r="M80" s="159">
        <v>11</v>
      </c>
      <c r="N80" s="271">
        <v>566</v>
      </c>
      <c r="O80" s="271"/>
      <c r="P80" s="266">
        <v>4.68</v>
      </c>
      <c r="Q80" s="267">
        <v>2.5299999999999998</v>
      </c>
      <c r="R80" s="159">
        <v>22</v>
      </c>
      <c r="S80" s="224"/>
      <c r="T80" s="251">
        <f t="shared" si="16"/>
        <v>-1.2475464788947848</v>
      </c>
      <c r="U80" s="224">
        <v>1</v>
      </c>
      <c r="V80" s="252">
        <f t="shared" si="17"/>
        <v>-1.3582279483851356</v>
      </c>
      <c r="W80" s="252">
        <f t="shared" si="18"/>
        <v>-1.3251004374489128</v>
      </c>
      <c r="X80" s="252">
        <f t="shared" si="19"/>
        <v>-1.6273016485105565</v>
      </c>
      <c r="Y80" s="253"/>
      <c r="Z80" s="260" t="s">
        <v>75</v>
      </c>
      <c r="AA80" s="260" t="s">
        <v>75</v>
      </c>
      <c r="AB80" s="158" t="s">
        <v>44</v>
      </c>
      <c r="AC80" s="260" t="s">
        <v>75</v>
      </c>
    </row>
    <row r="81" spans="2:29" ht="18.75" customHeight="1" x14ac:dyDescent="0.2">
      <c r="B81" s="29"/>
      <c r="C81" s="29"/>
      <c r="F81" s="246"/>
      <c r="H81" s="18"/>
      <c r="I81" s="18"/>
      <c r="J81" s="29"/>
      <c r="K81" s="242"/>
      <c r="L81" s="57"/>
      <c r="M81" s="19"/>
      <c r="N81" s="272"/>
      <c r="O81" s="240"/>
      <c r="P81" s="242"/>
      <c r="Q81" s="57"/>
      <c r="R81" s="19"/>
      <c r="T81" s="59"/>
      <c r="U81" s="29"/>
      <c r="V81" s="60"/>
      <c r="W81" s="60"/>
      <c r="X81" s="60"/>
      <c r="AB81" s="29"/>
      <c r="AC81" s="29"/>
    </row>
    <row r="82" spans="2:29" ht="18.75" customHeight="1" x14ac:dyDescent="0.2">
      <c r="B82" s="29"/>
      <c r="C82" s="29"/>
      <c r="F82" s="246"/>
      <c r="H82" s="29"/>
      <c r="I82" s="29"/>
      <c r="J82" s="29"/>
      <c r="K82" s="242"/>
      <c r="L82" s="57"/>
      <c r="M82" s="19"/>
      <c r="N82" s="254"/>
      <c r="O82" s="240"/>
      <c r="P82" s="242"/>
      <c r="Q82" s="57"/>
      <c r="R82" s="19"/>
      <c r="T82" s="59"/>
      <c r="U82" s="29"/>
      <c r="V82" s="247"/>
      <c r="W82" s="247"/>
      <c r="X82" s="247"/>
      <c r="AB82" s="29"/>
      <c r="AC82" s="29"/>
    </row>
  </sheetData>
  <sortState xmlns:xlrd2="http://schemas.microsoft.com/office/spreadsheetml/2017/richdata2" ref="A5:AC75">
    <sortCondition ref="A5:A75"/>
    <sortCondition ref="B5:B75"/>
    <sortCondition ref="C5:C75"/>
  </sortState>
  <mergeCells count="3">
    <mergeCell ref="K3:M3"/>
    <mergeCell ref="P3:R3"/>
    <mergeCell ref="T3:X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7CCE9-7EE3-4BDF-88C8-DCC925A0AF62}">
  <dimension ref="A1:AX158"/>
  <sheetViews>
    <sheetView topLeftCell="O37" zoomScale="68" zoomScaleNormal="68" workbookViewId="0">
      <selection activeCell="Z48" sqref="Z48"/>
    </sheetView>
  </sheetViews>
  <sheetFormatPr defaultColWidth="27" defaultRowHeight="16.5" customHeight="1" x14ac:dyDescent="0.2"/>
  <cols>
    <col min="1" max="1" width="20.7109375" style="8" customWidth="1"/>
    <col min="2" max="2" width="17.28515625" style="88" customWidth="1"/>
    <col min="3" max="3" width="6.7109375" style="8" customWidth="1"/>
    <col min="4" max="4" width="8.85546875" style="53" customWidth="1"/>
    <col min="5" max="5" width="22.7109375" style="29" customWidth="1"/>
    <col min="6" max="6" width="5.42578125" style="8" customWidth="1"/>
    <col min="7" max="7" width="4.42578125" style="8" customWidth="1"/>
    <col min="8" max="8" width="3.7109375" style="8" customWidth="1"/>
    <col min="9" max="9" width="6.7109375" style="8" customWidth="1"/>
    <col min="10" max="10" width="8" style="62" customWidth="1"/>
    <col min="11" max="11" width="11.42578125" style="8" customWidth="1"/>
    <col min="12" max="12" width="9.42578125" style="29" customWidth="1"/>
    <col min="13" max="13" width="7" style="29" customWidth="1"/>
    <col min="14" max="14" width="8.42578125" style="8" customWidth="1"/>
    <col min="15" max="15" width="7.42578125" style="62" customWidth="1"/>
    <col min="16" max="16" width="7.42578125" style="8" customWidth="1"/>
    <col min="17" max="17" width="5" style="8" customWidth="1"/>
    <col min="18" max="18" width="6.28515625" style="8" customWidth="1"/>
    <col min="19" max="19" width="5.7109375" style="8" customWidth="1"/>
    <col min="20" max="20" width="10.140625" style="8" customWidth="1"/>
    <col min="21" max="21" width="7.42578125" style="8" customWidth="1"/>
    <col min="22" max="22" width="16.7109375" style="19" customWidth="1"/>
    <col min="23" max="23" width="12.28515625" style="29" customWidth="1"/>
    <col min="24" max="24" width="10.42578125" style="8" customWidth="1"/>
    <col min="25" max="25" width="8.42578125" style="8" customWidth="1"/>
    <col min="26" max="26" width="9.42578125" style="8" customWidth="1"/>
    <col min="27" max="27" width="7.7109375" style="8" customWidth="1"/>
    <col min="28" max="16384" width="27" style="8"/>
  </cols>
  <sheetData>
    <row r="1" spans="1:49" ht="16.5" customHeight="1" x14ac:dyDescent="0.2">
      <c r="A1" s="133" t="s">
        <v>562</v>
      </c>
      <c r="X1" s="133" t="s">
        <v>562</v>
      </c>
    </row>
    <row r="2" spans="1:49" ht="16.5" customHeight="1" x14ac:dyDescent="0.2">
      <c r="A2" s="292" t="s">
        <v>613</v>
      </c>
      <c r="B2" s="292"/>
      <c r="C2" s="292"/>
      <c r="F2" s="29"/>
    </row>
    <row r="3" spans="1:49" ht="16.5" customHeight="1" x14ac:dyDescent="0.2">
      <c r="A3" s="1"/>
      <c r="B3" s="184"/>
      <c r="C3" s="1"/>
      <c r="D3" s="2"/>
      <c r="E3" s="3"/>
      <c r="F3" s="1"/>
      <c r="G3" s="1"/>
      <c r="H3" s="1"/>
      <c r="I3" s="291" t="s">
        <v>0</v>
      </c>
      <c r="J3" s="291"/>
      <c r="K3" s="291"/>
      <c r="L3" s="3"/>
      <c r="M3" s="3"/>
      <c r="N3" s="291" t="s">
        <v>1</v>
      </c>
      <c r="O3" s="291"/>
      <c r="P3" s="291"/>
      <c r="Q3" s="176"/>
      <c r="R3" s="291" t="s">
        <v>2</v>
      </c>
      <c r="S3" s="291"/>
      <c r="T3" s="291"/>
      <c r="U3" s="291"/>
      <c r="V3" s="291"/>
      <c r="W3" s="3"/>
      <c r="X3" s="1"/>
    </row>
    <row r="4" spans="1:49" s="19" customFormat="1" ht="16.5" customHeight="1" thickBot="1" x14ac:dyDescent="0.25">
      <c r="A4" s="9" t="s">
        <v>3</v>
      </c>
      <c r="B4" s="185" t="s">
        <v>4</v>
      </c>
      <c r="C4" s="9" t="s">
        <v>5</v>
      </c>
      <c r="D4" s="10" t="s">
        <v>6</v>
      </c>
      <c r="E4" s="11" t="s">
        <v>7</v>
      </c>
      <c r="F4" s="12" t="s">
        <v>8</v>
      </c>
      <c r="G4" s="12" t="s">
        <v>9</v>
      </c>
      <c r="H4" s="13"/>
      <c r="I4" s="14" t="s">
        <v>10</v>
      </c>
      <c r="J4" s="15" t="s">
        <v>11</v>
      </c>
      <c r="K4" s="14" t="s">
        <v>12</v>
      </c>
      <c r="L4" s="14" t="s">
        <v>13</v>
      </c>
      <c r="M4" s="13"/>
      <c r="N4" s="14" t="s">
        <v>10</v>
      </c>
      <c r="O4" s="15" t="s">
        <v>11</v>
      </c>
      <c r="P4" s="14" t="s">
        <v>12</v>
      </c>
      <c r="Q4" s="13"/>
      <c r="R4" s="14" t="s">
        <v>14</v>
      </c>
      <c r="S4" s="13"/>
      <c r="T4" s="191" t="s">
        <v>15</v>
      </c>
      <c r="U4" s="14" t="s">
        <v>16</v>
      </c>
      <c r="V4" s="14" t="s">
        <v>17</v>
      </c>
      <c r="W4" s="11" t="s">
        <v>7</v>
      </c>
      <c r="X4" s="9" t="s">
        <v>3</v>
      </c>
      <c r="AH4" s="19" t="s">
        <v>11</v>
      </c>
      <c r="AI4" s="19" t="s">
        <v>20</v>
      </c>
      <c r="AK4" s="19" t="s">
        <v>21</v>
      </c>
      <c r="AM4" s="19" t="s">
        <v>22</v>
      </c>
      <c r="AN4" s="19" t="s">
        <v>23</v>
      </c>
      <c r="AO4" s="19" t="s">
        <v>24</v>
      </c>
      <c r="AQ4" s="19" t="s">
        <v>25</v>
      </c>
      <c r="AW4" s="19" t="s">
        <v>26</v>
      </c>
    </row>
    <row r="5" spans="1:49" ht="16.5" customHeight="1" x14ac:dyDescent="0.2">
      <c r="A5" s="182" t="s">
        <v>146</v>
      </c>
      <c r="B5" s="90" t="s">
        <v>159</v>
      </c>
      <c r="C5" s="21">
        <v>2017</v>
      </c>
      <c r="D5" s="22" t="s">
        <v>160</v>
      </c>
      <c r="E5" s="20" t="s">
        <v>161</v>
      </c>
      <c r="F5" s="20">
        <v>3</v>
      </c>
      <c r="G5" s="20">
        <v>4</v>
      </c>
      <c r="H5" s="20"/>
      <c r="I5" s="51">
        <v>24.6</v>
      </c>
      <c r="J5" s="25">
        <v>14.7</v>
      </c>
      <c r="K5" s="21">
        <v>57</v>
      </c>
      <c r="L5" s="26">
        <v>655</v>
      </c>
      <c r="M5" s="26"/>
      <c r="N5" s="24">
        <v>17.3</v>
      </c>
      <c r="O5" s="25">
        <v>10.3</v>
      </c>
      <c r="P5" s="21">
        <v>57</v>
      </c>
      <c r="Q5" s="21"/>
      <c r="R5" s="27">
        <f t="shared" ref="R5:R11" si="0">(N5-I5)/SQRT((O5^2+J5^2)/2)</f>
        <v>-0.57515986004748754</v>
      </c>
      <c r="S5" s="20">
        <v>1</v>
      </c>
      <c r="T5" s="23">
        <f t="shared" ref="T5:T11" si="1">(N5-I5)/SQRT((((P5-1)*O5^2) + ((K5-1)*J5^2))/(P5+K5-2))*S5</f>
        <v>-0.57515986004748754</v>
      </c>
      <c r="U5" s="23">
        <f t="shared" ref="U5:U11" si="2">T5*(1-(3/(4*(K5+P5-2) -1)))</f>
        <v>-0.57129972675857821</v>
      </c>
      <c r="V5" s="180">
        <f t="shared" ref="V5:V11" si="3">((N5-I5)/O5)*S5 * (1-(3/(4*(K5+P5-2)-1)))</f>
        <v>-0.70398123411741709</v>
      </c>
      <c r="W5" s="20" t="s">
        <v>161</v>
      </c>
      <c r="X5" s="182" t="s">
        <v>146</v>
      </c>
    </row>
    <row r="6" spans="1:49" ht="16.5" customHeight="1" x14ac:dyDescent="0.2">
      <c r="A6" s="182" t="s">
        <v>146</v>
      </c>
      <c r="B6" s="90" t="s">
        <v>159</v>
      </c>
      <c r="C6" s="21">
        <v>2017</v>
      </c>
      <c r="D6" s="22" t="s">
        <v>162</v>
      </c>
      <c r="E6" s="20" t="s">
        <v>163</v>
      </c>
      <c r="F6" s="20">
        <v>3</v>
      </c>
      <c r="G6" s="20">
        <v>5</v>
      </c>
      <c r="H6" s="20"/>
      <c r="I6" s="24">
        <v>9.3000000000000007</v>
      </c>
      <c r="J6" s="25">
        <v>1.8</v>
      </c>
      <c r="K6" s="21">
        <v>57</v>
      </c>
      <c r="L6" s="26">
        <v>655</v>
      </c>
      <c r="M6" s="26"/>
      <c r="N6" s="24">
        <v>8.6999999999999993</v>
      </c>
      <c r="O6" s="25">
        <v>1.5</v>
      </c>
      <c r="P6" s="21">
        <v>57</v>
      </c>
      <c r="Q6" s="21"/>
      <c r="R6" s="27">
        <f t="shared" si="0"/>
        <v>-0.36214298417007496</v>
      </c>
      <c r="S6" s="20">
        <v>1</v>
      </c>
      <c r="T6" s="23">
        <f t="shared" si="1"/>
        <v>-0.36214298417007496</v>
      </c>
      <c r="U6" s="23">
        <f t="shared" si="2"/>
        <v>-0.35971249434343017</v>
      </c>
      <c r="V6" s="180">
        <f t="shared" si="3"/>
        <v>-0.3973154362416117</v>
      </c>
      <c r="W6" s="20" t="s">
        <v>163</v>
      </c>
      <c r="X6" s="182" t="s">
        <v>146</v>
      </c>
    </row>
    <row r="7" spans="1:49" ht="16.5" customHeight="1" x14ac:dyDescent="0.2">
      <c r="A7" s="182" t="s">
        <v>146</v>
      </c>
      <c r="B7" s="90" t="s">
        <v>60</v>
      </c>
      <c r="C7" s="21">
        <v>2017</v>
      </c>
      <c r="D7" s="22" t="s">
        <v>169</v>
      </c>
      <c r="E7" s="20" t="s">
        <v>170</v>
      </c>
      <c r="F7" s="20">
        <v>4</v>
      </c>
      <c r="G7" s="20">
        <v>6</v>
      </c>
      <c r="H7" s="20"/>
      <c r="I7" s="24">
        <v>18.899999999999999</v>
      </c>
      <c r="J7" s="25">
        <v>11.3</v>
      </c>
      <c r="K7" s="21">
        <v>37</v>
      </c>
      <c r="L7" s="26">
        <v>720</v>
      </c>
      <c r="M7" s="26"/>
      <c r="N7" s="24">
        <v>13.3</v>
      </c>
      <c r="O7" s="25">
        <v>8.8000000000000007</v>
      </c>
      <c r="P7" s="21">
        <v>30</v>
      </c>
      <c r="Q7" s="21"/>
      <c r="R7" s="27">
        <f t="shared" si="0"/>
        <v>-0.55295327526239435</v>
      </c>
      <c r="S7" s="20">
        <v>1</v>
      </c>
      <c r="T7" s="23">
        <f t="shared" si="1"/>
        <v>-0.54580075086961954</v>
      </c>
      <c r="U7" s="23">
        <f t="shared" si="2"/>
        <v>-0.53947873445028038</v>
      </c>
      <c r="V7" s="180">
        <f t="shared" si="3"/>
        <v>-0.62899262899262864</v>
      </c>
      <c r="W7" s="20" t="s">
        <v>170</v>
      </c>
      <c r="X7" s="182" t="s">
        <v>146</v>
      </c>
    </row>
    <row r="8" spans="1:49" ht="16.5" customHeight="1" x14ac:dyDescent="0.2">
      <c r="A8" s="182" t="s">
        <v>146</v>
      </c>
      <c r="B8" s="90" t="s">
        <v>509</v>
      </c>
      <c r="C8" s="21">
        <v>2021</v>
      </c>
      <c r="D8" s="22" t="s">
        <v>512</v>
      </c>
      <c r="E8" s="96" t="s">
        <v>513</v>
      </c>
      <c r="F8" s="21">
        <v>5</v>
      </c>
      <c r="G8" s="20">
        <v>7</v>
      </c>
      <c r="H8" s="20"/>
      <c r="I8" s="36">
        <v>144</v>
      </c>
      <c r="J8" s="25">
        <f>(177-95)/1.35</f>
        <v>60.740740740740733</v>
      </c>
      <c r="K8" s="21">
        <v>19</v>
      </c>
      <c r="L8" s="26">
        <v>890</v>
      </c>
      <c r="M8" s="26"/>
      <c r="N8" s="36">
        <v>258</v>
      </c>
      <c r="O8" s="25">
        <f>(275-240)/1.35</f>
        <v>25.925925925925924</v>
      </c>
      <c r="P8" s="21">
        <v>25</v>
      </c>
      <c r="Q8" s="21"/>
      <c r="R8" s="27">
        <f t="shared" si="0"/>
        <v>2.4411663181416556</v>
      </c>
      <c r="S8" s="20">
        <v>-1</v>
      </c>
      <c r="T8" s="23">
        <f t="shared" si="1"/>
        <v>-2.571539207552469</v>
      </c>
      <c r="U8" s="136">
        <f t="shared" si="2"/>
        <v>-2.525343892446736</v>
      </c>
      <c r="V8" s="181">
        <f t="shared" si="3"/>
        <v>-4.3181522668947823</v>
      </c>
      <c r="W8" s="96" t="s">
        <v>513</v>
      </c>
      <c r="X8" s="182" t="s">
        <v>146</v>
      </c>
    </row>
    <row r="9" spans="1:49" ht="16.5" customHeight="1" x14ac:dyDescent="0.2">
      <c r="A9" s="182" t="s">
        <v>146</v>
      </c>
      <c r="B9" s="88" t="s">
        <v>77</v>
      </c>
      <c r="C9" s="21">
        <v>2020</v>
      </c>
      <c r="D9" s="22" t="s">
        <v>169</v>
      </c>
      <c r="E9" s="20" t="s">
        <v>170</v>
      </c>
      <c r="F9" s="21">
        <v>6</v>
      </c>
      <c r="G9" s="20">
        <v>8</v>
      </c>
      <c r="H9" s="20"/>
      <c r="I9" s="24">
        <v>24.2</v>
      </c>
      <c r="J9" s="25">
        <v>12</v>
      </c>
      <c r="K9" s="21">
        <v>19</v>
      </c>
      <c r="L9" s="26">
        <v>1042</v>
      </c>
      <c r="M9" s="26"/>
      <c r="N9" s="24">
        <v>15.9</v>
      </c>
      <c r="O9" s="25">
        <v>9.6</v>
      </c>
      <c r="P9" s="21">
        <v>19</v>
      </c>
      <c r="Q9" s="21"/>
      <c r="R9" s="27">
        <f t="shared" si="0"/>
        <v>-0.76381805535102176</v>
      </c>
      <c r="S9" s="20">
        <v>1</v>
      </c>
      <c r="T9" s="23">
        <f t="shared" si="1"/>
        <v>-0.76381805535102176</v>
      </c>
      <c r="U9" s="23">
        <f t="shared" si="2"/>
        <v>-0.74779390034365767</v>
      </c>
      <c r="V9" s="180">
        <f t="shared" si="3"/>
        <v>-0.84644522144522139</v>
      </c>
      <c r="W9" s="20" t="s">
        <v>170</v>
      </c>
      <c r="X9" s="182" t="s">
        <v>146</v>
      </c>
    </row>
    <row r="10" spans="1:49" ht="16.5" customHeight="1" x14ac:dyDescent="0.2">
      <c r="A10" s="182" t="s">
        <v>146</v>
      </c>
      <c r="B10" s="90" t="s">
        <v>154</v>
      </c>
      <c r="C10" s="21">
        <v>1994</v>
      </c>
      <c r="D10" s="22" t="s">
        <v>155</v>
      </c>
      <c r="E10" s="20" t="s">
        <v>156</v>
      </c>
      <c r="F10" s="20">
        <v>7</v>
      </c>
      <c r="G10" s="20">
        <v>9</v>
      </c>
      <c r="H10" s="20"/>
      <c r="I10" s="24">
        <v>51.9</v>
      </c>
      <c r="J10" s="25">
        <v>8.6999999999999993</v>
      </c>
      <c r="K10" s="21">
        <v>19</v>
      </c>
      <c r="L10" s="26">
        <v>2069</v>
      </c>
      <c r="M10" s="26"/>
      <c r="N10" s="24">
        <v>39.9</v>
      </c>
      <c r="O10" s="25">
        <v>6.6</v>
      </c>
      <c r="P10" s="21">
        <v>20</v>
      </c>
      <c r="Q10" s="21"/>
      <c r="R10" s="27">
        <f t="shared" si="0"/>
        <v>-1.5540573797716228</v>
      </c>
      <c r="S10" s="20">
        <v>1</v>
      </c>
      <c r="T10" s="23">
        <f t="shared" si="1"/>
        <v>-1.5597467935528373</v>
      </c>
      <c r="U10" s="23">
        <f t="shared" si="2"/>
        <v>-1.5279152263374733</v>
      </c>
      <c r="V10" s="180">
        <f t="shared" si="3"/>
        <v>-1.7810760667903527</v>
      </c>
      <c r="W10" s="20" t="s">
        <v>156</v>
      </c>
      <c r="X10" s="182" t="s">
        <v>146</v>
      </c>
    </row>
    <row r="11" spans="1:49" ht="16.5" customHeight="1" x14ac:dyDescent="0.2">
      <c r="A11" s="182" t="s">
        <v>146</v>
      </c>
      <c r="B11" s="90" t="s">
        <v>82</v>
      </c>
      <c r="C11" s="21">
        <v>2013</v>
      </c>
      <c r="D11" s="22" t="s">
        <v>164</v>
      </c>
      <c r="E11" s="20" t="s">
        <v>165</v>
      </c>
      <c r="F11" s="20">
        <v>9</v>
      </c>
      <c r="G11" s="20">
        <v>12</v>
      </c>
      <c r="H11" s="20"/>
      <c r="I11" s="24">
        <v>99.1</v>
      </c>
      <c r="J11" s="25">
        <v>14.9</v>
      </c>
      <c r="K11" s="21">
        <v>57</v>
      </c>
      <c r="L11" s="30">
        <f>(845.7+774.9)/2</f>
        <v>810.3</v>
      </c>
      <c r="M11" s="30"/>
      <c r="N11" s="24">
        <v>103.6</v>
      </c>
      <c r="O11" s="25">
        <v>13.6</v>
      </c>
      <c r="P11" s="21">
        <v>46</v>
      </c>
      <c r="Q11" s="21"/>
      <c r="R11" s="27">
        <f t="shared" si="0"/>
        <v>0.31546146331286101</v>
      </c>
      <c r="S11" s="20">
        <v>-1</v>
      </c>
      <c r="T11" s="23">
        <f t="shared" si="1"/>
        <v>-0.31390908175481508</v>
      </c>
      <c r="U11" s="23">
        <f t="shared" si="2"/>
        <v>-0.31157228958294303</v>
      </c>
      <c r="V11" s="180">
        <f t="shared" si="3"/>
        <v>-0.32841920887461684</v>
      </c>
      <c r="W11" s="20" t="s">
        <v>165</v>
      </c>
      <c r="X11" s="182" t="s">
        <v>146</v>
      </c>
    </row>
    <row r="12" spans="1:49" ht="16.5" customHeight="1" x14ac:dyDescent="0.2">
      <c r="A12" s="182"/>
      <c r="B12" s="90"/>
      <c r="C12" s="21"/>
      <c r="D12" s="22"/>
      <c r="E12" s="20"/>
      <c r="F12" s="20"/>
      <c r="G12" s="20"/>
      <c r="H12" s="20"/>
      <c r="I12" s="24"/>
      <c r="J12" s="25"/>
      <c r="K12" s="21"/>
      <c r="L12" s="30"/>
      <c r="M12" s="30"/>
      <c r="N12" s="24"/>
      <c r="O12" s="25"/>
      <c r="P12" s="21"/>
      <c r="Q12" s="21"/>
      <c r="R12" s="27"/>
      <c r="S12" s="20"/>
      <c r="T12" s="23"/>
      <c r="U12" s="23"/>
      <c r="V12" s="180"/>
      <c r="W12" s="20"/>
      <c r="X12" s="182"/>
    </row>
    <row r="13" spans="1:49" ht="16.5" customHeight="1" x14ac:dyDescent="0.2">
      <c r="A13" s="182" t="s">
        <v>86</v>
      </c>
      <c r="B13" s="90" t="s">
        <v>28</v>
      </c>
      <c r="C13" s="21">
        <v>2004</v>
      </c>
      <c r="D13" s="22" t="s">
        <v>93</v>
      </c>
      <c r="E13" s="23" t="s">
        <v>94</v>
      </c>
      <c r="F13" s="20">
        <v>1</v>
      </c>
      <c r="G13" s="20">
        <v>1</v>
      </c>
      <c r="H13" s="20"/>
      <c r="I13" s="34">
        <v>6.95</v>
      </c>
      <c r="J13" s="45">
        <v>1.67</v>
      </c>
      <c r="K13" s="20">
        <v>20</v>
      </c>
      <c r="L13" s="26">
        <v>858.5</v>
      </c>
      <c r="M13" s="26"/>
      <c r="N13" s="34">
        <v>7.15</v>
      </c>
      <c r="O13" s="45">
        <v>1.1399999999999999</v>
      </c>
      <c r="P13" s="20">
        <v>20</v>
      </c>
      <c r="Q13" s="20"/>
      <c r="R13" s="27">
        <f t="shared" ref="R13:R18" si="4">(N13-I13)/SQRT((O13^2+J13^2)/2)</f>
        <v>0.13988237340926069</v>
      </c>
      <c r="S13" s="20">
        <v>-1</v>
      </c>
      <c r="T13" s="23">
        <f t="shared" ref="T13:T18" si="5">(N13-I13)/SQRT((((P13-1)*O13^2) + ((K13-1)*J13^2))/(P13+K13-2))*S13</f>
        <v>-0.13988237340926069</v>
      </c>
      <c r="U13" s="23">
        <f t="shared" ref="U13:U18" si="6">T13*(1-(3/(4*(K13+P13-2) -1)))</f>
        <v>-0.1371032534077522</v>
      </c>
      <c r="V13" s="180">
        <f t="shared" ref="V13:V18" si="7">((N13-I13)/O13)*S13 * (1-(3/(4*(K13+P13-2)-1)))</f>
        <v>-0.17195306146160119</v>
      </c>
      <c r="W13" s="23" t="s">
        <v>94</v>
      </c>
      <c r="X13" s="182" t="s">
        <v>86</v>
      </c>
      <c r="AM13" s="8" t="s">
        <v>95</v>
      </c>
      <c r="AN13" s="8" t="s">
        <v>95</v>
      </c>
      <c r="AO13" s="8" t="s">
        <v>96</v>
      </c>
    </row>
    <row r="14" spans="1:49" ht="16.5" customHeight="1" x14ac:dyDescent="0.2">
      <c r="A14" s="182" t="s">
        <v>86</v>
      </c>
      <c r="B14" s="90" t="s">
        <v>28</v>
      </c>
      <c r="C14" s="21">
        <v>2004</v>
      </c>
      <c r="D14" s="22" t="s">
        <v>97</v>
      </c>
      <c r="E14" s="23" t="s">
        <v>98</v>
      </c>
      <c r="F14" s="20">
        <v>1</v>
      </c>
      <c r="G14" s="20">
        <v>2</v>
      </c>
      <c r="H14" s="20"/>
      <c r="I14" s="34">
        <v>0.54</v>
      </c>
      <c r="J14" s="45">
        <v>0.11</v>
      </c>
      <c r="K14" s="20">
        <v>20</v>
      </c>
      <c r="L14" s="26">
        <v>858.5</v>
      </c>
      <c r="M14" s="26"/>
      <c r="N14" s="34">
        <v>0.56999999999999995</v>
      </c>
      <c r="O14" s="45">
        <v>7.0000000000000007E-2</v>
      </c>
      <c r="P14" s="20">
        <v>20</v>
      </c>
      <c r="Q14" s="20"/>
      <c r="R14" s="27">
        <f t="shared" si="4"/>
        <v>0.32539568672798336</v>
      </c>
      <c r="S14" s="20">
        <v>-1</v>
      </c>
      <c r="T14" s="23">
        <f t="shared" si="5"/>
        <v>-0.32539568672798336</v>
      </c>
      <c r="U14" s="23">
        <f t="shared" si="6"/>
        <v>-0.31893087175987772</v>
      </c>
      <c r="V14" s="180">
        <f t="shared" si="7"/>
        <v>-0.42005676442762413</v>
      </c>
      <c r="W14" s="23" t="s">
        <v>98</v>
      </c>
      <c r="X14" s="182" t="s">
        <v>86</v>
      </c>
    </row>
    <row r="15" spans="1:49" ht="16.5" customHeight="1" x14ac:dyDescent="0.2">
      <c r="A15" s="182" t="s">
        <v>86</v>
      </c>
      <c r="B15" s="90" t="s">
        <v>53</v>
      </c>
      <c r="C15" s="21">
        <v>2015</v>
      </c>
      <c r="D15" s="22" t="s">
        <v>87</v>
      </c>
      <c r="E15" s="23" t="s">
        <v>88</v>
      </c>
      <c r="F15" s="20">
        <v>2</v>
      </c>
      <c r="G15" s="20">
        <v>3</v>
      </c>
      <c r="H15" s="20"/>
      <c r="I15" s="34">
        <v>98.14</v>
      </c>
      <c r="J15" s="45">
        <v>13.04</v>
      </c>
      <c r="K15" s="20">
        <v>14</v>
      </c>
      <c r="L15" s="26" t="s">
        <v>44</v>
      </c>
      <c r="M15" s="26"/>
      <c r="N15" s="34">
        <v>100.86</v>
      </c>
      <c r="O15" s="45">
        <v>8.8000000000000007</v>
      </c>
      <c r="P15" s="20">
        <v>14</v>
      </c>
      <c r="Q15" s="20"/>
      <c r="R15" s="27">
        <f t="shared" si="4"/>
        <v>0.24451890614322794</v>
      </c>
      <c r="S15" s="20">
        <v>-1</v>
      </c>
      <c r="T15" s="23">
        <f t="shared" si="5"/>
        <v>-0.24451890614322794</v>
      </c>
      <c r="U15" s="23">
        <f t="shared" si="6"/>
        <v>-0.2373969962555611</v>
      </c>
      <c r="V15" s="180">
        <f t="shared" si="7"/>
        <v>-0.30008826125330962</v>
      </c>
      <c r="W15" s="23" t="s">
        <v>88</v>
      </c>
      <c r="X15" s="182" t="s">
        <v>86</v>
      </c>
      <c r="AW15" s="8" t="s">
        <v>89</v>
      </c>
    </row>
    <row r="16" spans="1:49" ht="16.5" customHeight="1" x14ac:dyDescent="0.2">
      <c r="A16" s="182" t="s">
        <v>86</v>
      </c>
      <c r="B16" s="90" t="s">
        <v>53</v>
      </c>
      <c r="C16" s="21">
        <v>2015</v>
      </c>
      <c r="D16" s="22" t="s">
        <v>90</v>
      </c>
      <c r="E16" s="23" t="s">
        <v>91</v>
      </c>
      <c r="F16" s="20">
        <v>2</v>
      </c>
      <c r="G16" s="20">
        <v>4</v>
      </c>
      <c r="H16" s="20"/>
      <c r="I16" s="34">
        <v>86.86</v>
      </c>
      <c r="J16" s="45">
        <v>23.1</v>
      </c>
      <c r="K16" s="20">
        <v>14</v>
      </c>
      <c r="L16" s="26" t="s">
        <v>44</v>
      </c>
      <c r="M16" s="26"/>
      <c r="N16" s="34">
        <v>108.29</v>
      </c>
      <c r="O16" s="45">
        <v>4.3600000000000003</v>
      </c>
      <c r="P16" s="20">
        <v>14</v>
      </c>
      <c r="Q16" s="20"/>
      <c r="R16" s="27">
        <f t="shared" si="4"/>
        <v>1.2892110723796886</v>
      </c>
      <c r="S16" s="20">
        <v>-1</v>
      </c>
      <c r="T16" s="23">
        <f t="shared" si="5"/>
        <v>-1.2892110723796886</v>
      </c>
      <c r="U16" s="23">
        <f t="shared" si="6"/>
        <v>-1.251661235320086</v>
      </c>
      <c r="V16" s="161">
        <f t="shared" si="7"/>
        <v>-4.771978266678544</v>
      </c>
      <c r="W16" s="23" t="s">
        <v>91</v>
      </c>
      <c r="X16" s="182" t="s">
        <v>86</v>
      </c>
      <c r="AM16" s="8" t="s">
        <v>92</v>
      </c>
      <c r="AN16" s="8" t="s">
        <v>92</v>
      </c>
    </row>
    <row r="17" spans="1:50" ht="16.5" customHeight="1" x14ac:dyDescent="0.2">
      <c r="A17" s="182" t="s">
        <v>86</v>
      </c>
      <c r="B17" s="90" t="s">
        <v>60</v>
      </c>
      <c r="C17" s="21">
        <v>2017</v>
      </c>
      <c r="D17" s="22" t="s">
        <v>99</v>
      </c>
      <c r="E17" s="23" t="s">
        <v>100</v>
      </c>
      <c r="F17" s="20">
        <v>3</v>
      </c>
      <c r="G17" s="20">
        <v>5</v>
      </c>
      <c r="H17" s="20"/>
      <c r="I17" s="34">
        <v>20.6</v>
      </c>
      <c r="J17" s="45">
        <v>28.2</v>
      </c>
      <c r="K17" s="20">
        <v>37</v>
      </c>
      <c r="L17" s="26">
        <v>720</v>
      </c>
      <c r="M17" s="26"/>
      <c r="N17" s="34">
        <v>2.9</v>
      </c>
      <c r="O17" s="45">
        <v>7.9</v>
      </c>
      <c r="P17" s="20">
        <v>30</v>
      </c>
      <c r="Q17" s="20"/>
      <c r="R17" s="27">
        <f t="shared" si="4"/>
        <v>-0.85473840530477174</v>
      </c>
      <c r="S17" s="20">
        <v>1</v>
      </c>
      <c r="T17" s="23">
        <f t="shared" si="5"/>
        <v>-0.81793370980908064</v>
      </c>
      <c r="U17" s="23">
        <f t="shared" si="6"/>
        <v>-0.80845957417422643</v>
      </c>
      <c r="V17" s="180">
        <f t="shared" si="7"/>
        <v>-2.2145545183519872</v>
      </c>
      <c r="W17" s="23" t="s">
        <v>100</v>
      </c>
      <c r="X17" s="182" t="s">
        <v>86</v>
      </c>
    </row>
    <row r="18" spans="1:50" ht="16.5" customHeight="1" x14ac:dyDescent="0.2">
      <c r="A18" s="182" t="s">
        <v>86</v>
      </c>
      <c r="B18" s="90" t="s">
        <v>509</v>
      </c>
      <c r="C18" s="21">
        <v>2021</v>
      </c>
      <c r="D18" s="22" t="s">
        <v>87</v>
      </c>
      <c r="E18" s="23"/>
      <c r="F18" s="20">
        <v>4</v>
      </c>
      <c r="G18" s="20">
        <v>6</v>
      </c>
      <c r="H18" s="20"/>
      <c r="I18" s="34">
        <v>16</v>
      </c>
      <c r="J18" s="45">
        <f>(18-14)/1.35</f>
        <v>2.9629629629629628</v>
      </c>
      <c r="K18" s="20">
        <v>19</v>
      </c>
      <c r="L18" s="26">
        <v>890</v>
      </c>
      <c r="M18" s="26"/>
      <c r="N18" s="34">
        <v>18</v>
      </c>
      <c r="O18" s="45">
        <f>(19-17)/1.35</f>
        <v>1.4814814814814814</v>
      </c>
      <c r="P18" s="20">
        <v>25</v>
      </c>
      <c r="Q18" s="20"/>
      <c r="R18" s="27">
        <f t="shared" si="4"/>
        <v>0.85381496824546244</v>
      </c>
      <c r="S18" s="20">
        <v>-1</v>
      </c>
      <c r="T18" s="23">
        <f t="shared" si="5"/>
        <v>-0.89294106748429947</v>
      </c>
      <c r="U18" s="23">
        <f t="shared" si="6"/>
        <v>-0.87690020998458151</v>
      </c>
      <c r="V18" s="180">
        <f t="shared" si="7"/>
        <v>-1.3257485029940119</v>
      </c>
      <c r="W18" s="23"/>
      <c r="X18" s="182" t="s">
        <v>86</v>
      </c>
    </row>
    <row r="19" spans="1:50" ht="16.5" customHeight="1" x14ac:dyDescent="0.2">
      <c r="A19" s="182"/>
      <c r="B19" s="90"/>
      <c r="C19" s="21"/>
      <c r="D19" s="22"/>
      <c r="E19" s="23"/>
      <c r="F19" s="20"/>
      <c r="G19" s="20"/>
      <c r="H19" s="20"/>
      <c r="I19" s="34"/>
      <c r="J19" s="45"/>
      <c r="K19" s="20"/>
      <c r="L19" s="26"/>
      <c r="M19" s="26"/>
      <c r="N19" s="34"/>
      <c r="O19" s="45"/>
      <c r="P19" s="20"/>
      <c r="Q19" s="20"/>
      <c r="R19" s="27"/>
      <c r="S19" s="20"/>
      <c r="T19" s="23"/>
      <c r="U19" s="23"/>
      <c r="V19" s="180"/>
      <c r="W19" s="23"/>
      <c r="X19" s="182"/>
    </row>
    <row r="20" spans="1:50" ht="16.5" customHeight="1" x14ac:dyDescent="0.2">
      <c r="A20" s="182" t="s">
        <v>27</v>
      </c>
      <c r="B20" s="88" t="s">
        <v>546</v>
      </c>
      <c r="C20" s="21">
        <v>2021</v>
      </c>
      <c r="D20" s="22" t="s">
        <v>29</v>
      </c>
      <c r="E20" s="23" t="s">
        <v>554</v>
      </c>
      <c r="F20" s="21">
        <v>1</v>
      </c>
      <c r="G20" s="20">
        <v>1</v>
      </c>
      <c r="H20" s="20"/>
      <c r="I20" s="109" t="s">
        <v>75</v>
      </c>
      <c r="J20" s="109" t="s">
        <v>75</v>
      </c>
      <c r="K20" s="21">
        <v>150</v>
      </c>
      <c r="L20" s="89">
        <v>908</v>
      </c>
      <c r="M20" s="26"/>
      <c r="N20" s="109" t="s">
        <v>75</v>
      </c>
      <c r="O20" s="109" t="s">
        <v>75</v>
      </c>
      <c r="P20" s="21">
        <v>76</v>
      </c>
      <c r="Q20" s="21"/>
      <c r="R20" s="42" t="s">
        <v>75</v>
      </c>
      <c r="S20" s="20"/>
      <c r="T20" s="42" t="s">
        <v>75</v>
      </c>
      <c r="U20" s="42" t="s">
        <v>75</v>
      </c>
      <c r="V20" s="180">
        <v>-0.44</v>
      </c>
      <c r="W20" s="23" t="s">
        <v>554</v>
      </c>
      <c r="X20" s="182" t="s">
        <v>27</v>
      </c>
    </row>
    <row r="21" spans="1:50" ht="16.5" customHeight="1" x14ac:dyDescent="0.2">
      <c r="A21" s="182" t="s">
        <v>27</v>
      </c>
      <c r="B21" s="88" t="s">
        <v>546</v>
      </c>
      <c r="C21" s="21">
        <v>2021</v>
      </c>
      <c r="D21" s="22" t="s">
        <v>49</v>
      </c>
      <c r="E21" s="23" t="s">
        <v>553</v>
      </c>
      <c r="F21" s="21">
        <v>1</v>
      </c>
      <c r="G21" s="20">
        <v>2</v>
      </c>
      <c r="H21" s="20"/>
      <c r="I21" s="109" t="s">
        <v>75</v>
      </c>
      <c r="J21" s="109" t="s">
        <v>75</v>
      </c>
      <c r="K21" s="21">
        <v>150</v>
      </c>
      <c r="L21" s="89">
        <v>908</v>
      </c>
      <c r="M21" s="26"/>
      <c r="N21" s="109" t="s">
        <v>75</v>
      </c>
      <c r="O21" s="109" t="s">
        <v>75</v>
      </c>
      <c r="P21" s="21">
        <v>76</v>
      </c>
      <c r="Q21" s="21"/>
      <c r="R21" s="109" t="s">
        <v>75</v>
      </c>
      <c r="S21" s="20"/>
      <c r="T21" s="109" t="s">
        <v>75</v>
      </c>
      <c r="U21" s="109" t="s">
        <v>75</v>
      </c>
      <c r="V21" s="180">
        <v>7.0000000000000007E-2</v>
      </c>
      <c r="W21" s="23" t="s">
        <v>553</v>
      </c>
      <c r="X21" s="182" t="s">
        <v>27</v>
      </c>
    </row>
    <row r="22" spans="1:50" ht="16.5" customHeight="1" x14ac:dyDescent="0.2">
      <c r="A22" s="182" t="s">
        <v>27</v>
      </c>
      <c r="B22" s="88" t="s">
        <v>546</v>
      </c>
      <c r="C22" s="21">
        <v>2021</v>
      </c>
      <c r="D22" s="28" t="s">
        <v>555</v>
      </c>
      <c r="E22" s="132" t="s">
        <v>555</v>
      </c>
      <c r="F22" s="21">
        <v>1</v>
      </c>
      <c r="G22" s="20">
        <v>3</v>
      </c>
      <c r="H22" s="20"/>
      <c r="I22" s="109" t="s">
        <v>75</v>
      </c>
      <c r="J22" s="109" t="s">
        <v>75</v>
      </c>
      <c r="K22" s="21">
        <v>152</v>
      </c>
      <c r="L22" s="89">
        <v>908</v>
      </c>
      <c r="M22" s="26"/>
      <c r="N22" s="109" t="s">
        <v>75</v>
      </c>
      <c r="O22" s="109" t="s">
        <v>75</v>
      </c>
      <c r="P22" s="21">
        <v>76</v>
      </c>
      <c r="Q22" s="21"/>
      <c r="R22" s="109" t="s">
        <v>75</v>
      </c>
      <c r="S22" s="20"/>
      <c r="T22" s="109" t="s">
        <v>75</v>
      </c>
      <c r="U22" s="109" t="s">
        <v>75</v>
      </c>
      <c r="V22" s="180">
        <v>-0.26</v>
      </c>
      <c r="W22" s="132" t="s">
        <v>555</v>
      </c>
      <c r="X22" s="182" t="s">
        <v>27</v>
      </c>
    </row>
    <row r="23" spans="1:50" ht="16.5" customHeight="1" x14ac:dyDescent="0.2">
      <c r="A23" s="182" t="s">
        <v>27</v>
      </c>
      <c r="B23" s="88" t="s">
        <v>552</v>
      </c>
      <c r="C23" s="21">
        <v>2022</v>
      </c>
      <c r="D23" s="28" t="s">
        <v>556</v>
      </c>
      <c r="E23" s="132" t="s">
        <v>557</v>
      </c>
      <c r="F23" s="21">
        <v>1</v>
      </c>
      <c r="G23" s="20">
        <v>4</v>
      </c>
      <c r="H23" s="20"/>
      <c r="I23" s="109" t="s">
        <v>75</v>
      </c>
      <c r="J23" s="109" t="s">
        <v>75</v>
      </c>
      <c r="K23" s="21">
        <v>152</v>
      </c>
      <c r="L23" s="89">
        <v>908</v>
      </c>
      <c r="M23" s="26"/>
      <c r="N23" s="109" t="s">
        <v>75</v>
      </c>
      <c r="O23" s="109" t="s">
        <v>75</v>
      </c>
      <c r="P23" s="21">
        <v>77</v>
      </c>
      <c r="Q23" s="21"/>
      <c r="R23" s="109"/>
      <c r="S23" s="20"/>
      <c r="T23" s="109"/>
      <c r="U23" s="109"/>
      <c r="V23" s="180">
        <v>-0.61</v>
      </c>
      <c r="W23" s="132" t="s">
        <v>557</v>
      </c>
      <c r="X23" s="182" t="s">
        <v>27</v>
      </c>
    </row>
    <row r="24" spans="1:50" s="131" customFormat="1" ht="16.5" customHeight="1" x14ac:dyDescent="0.2">
      <c r="A24" s="183" t="s">
        <v>27</v>
      </c>
      <c r="B24" s="186" t="s">
        <v>28</v>
      </c>
      <c r="C24" s="122">
        <v>2004</v>
      </c>
      <c r="D24" s="123" t="s">
        <v>29</v>
      </c>
      <c r="E24" s="177" t="s">
        <v>30</v>
      </c>
      <c r="F24" s="121">
        <v>2</v>
      </c>
      <c r="G24" s="20">
        <v>5</v>
      </c>
      <c r="H24" s="121"/>
      <c r="I24" s="125">
        <v>8.01</v>
      </c>
      <c r="J24" s="126">
        <v>1.64</v>
      </c>
      <c r="K24" s="122">
        <v>20</v>
      </c>
      <c r="L24" s="127">
        <v>858.5</v>
      </c>
      <c r="M24" s="127"/>
      <c r="N24" s="125">
        <v>9.76</v>
      </c>
      <c r="O24" s="126">
        <v>2.5299999999999998</v>
      </c>
      <c r="P24" s="122">
        <v>20</v>
      </c>
      <c r="Q24" s="121"/>
      <c r="R24" s="128">
        <f t="shared" ref="R24:R47" si="8">(N24-I24)/SQRT((O24^2+J24^2)/2)</f>
        <v>0.82084122710449015</v>
      </c>
      <c r="S24" s="121">
        <v>-1</v>
      </c>
      <c r="T24" s="177">
        <f t="shared" ref="T24:T47" si="9">(N24-I24)/SQRT((((P24-1)*O24^2) + ((K24-1)*J24^2))/(P24+K24-2))*S24</f>
        <v>-0.82084122710449015</v>
      </c>
      <c r="U24" s="177">
        <f t="shared" ref="U24:U47" si="10">T24*(1-(3/(4*(K24+P24-2) -1)))</f>
        <v>-0.80453312325473203</v>
      </c>
      <c r="V24" s="179">
        <f t="shared" ref="V24:V47" si="11">((N24-I24)/O24)*S24 * (1-(3/(4*(K24+P24-2)-1)))</f>
        <v>-0.67795722848990914</v>
      </c>
      <c r="W24" s="177" t="s">
        <v>30</v>
      </c>
      <c r="X24" s="183" t="s">
        <v>27</v>
      </c>
      <c r="AH24" s="131">
        <v>2.5</v>
      </c>
      <c r="AI24" s="131">
        <v>20</v>
      </c>
      <c r="AW24" s="131" t="s">
        <v>28</v>
      </c>
      <c r="AX24" s="131">
        <v>1</v>
      </c>
    </row>
    <row r="25" spans="1:50" ht="16.5" customHeight="1" x14ac:dyDescent="0.2">
      <c r="A25" s="182" t="s">
        <v>27</v>
      </c>
      <c r="B25" s="90" t="s">
        <v>33</v>
      </c>
      <c r="C25" s="21">
        <v>2005</v>
      </c>
      <c r="D25" s="22" t="s">
        <v>34</v>
      </c>
      <c r="E25" s="23" t="s">
        <v>35</v>
      </c>
      <c r="F25" s="20">
        <v>3</v>
      </c>
      <c r="G25" s="20">
        <v>6</v>
      </c>
      <c r="H25" s="20"/>
      <c r="I25" s="24">
        <v>66.48</v>
      </c>
      <c r="J25" s="25">
        <v>15.75</v>
      </c>
      <c r="K25" s="21">
        <v>25</v>
      </c>
      <c r="L25" s="26">
        <v>758.79</v>
      </c>
      <c r="M25" s="26"/>
      <c r="N25" s="24">
        <v>67.599999999999994</v>
      </c>
      <c r="O25" s="25">
        <v>16.690000000000001</v>
      </c>
      <c r="P25" s="21">
        <v>25</v>
      </c>
      <c r="Q25" s="20"/>
      <c r="R25" s="27">
        <f t="shared" si="8"/>
        <v>6.9021584249196799E-2</v>
      </c>
      <c r="S25" s="20">
        <v>-1</v>
      </c>
      <c r="T25" s="23">
        <f t="shared" si="9"/>
        <v>-6.9021584249196799E-2</v>
      </c>
      <c r="U25" s="23">
        <f t="shared" si="10"/>
        <v>-6.7937475596068053E-2</v>
      </c>
      <c r="V25" s="180">
        <f t="shared" si="11"/>
        <v>-6.6052029776113907E-2</v>
      </c>
      <c r="W25" s="23" t="s">
        <v>35</v>
      </c>
      <c r="X25" s="182" t="s">
        <v>27</v>
      </c>
      <c r="AH25" s="8">
        <v>16.7</v>
      </c>
      <c r="AI25" s="8">
        <v>25</v>
      </c>
      <c r="AW25" s="8" t="s">
        <v>33</v>
      </c>
      <c r="AX25" s="8">
        <v>2</v>
      </c>
    </row>
    <row r="26" spans="1:50" ht="16.5" customHeight="1" x14ac:dyDescent="0.2">
      <c r="A26" s="182" t="s">
        <v>27</v>
      </c>
      <c r="B26" s="90" t="s">
        <v>38</v>
      </c>
      <c r="C26" s="21">
        <v>2007</v>
      </c>
      <c r="D26" s="22" t="s">
        <v>34</v>
      </c>
      <c r="E26" s="23" t="s">
        <v>39</v>
      </c>
      <c r="F26" s="20">
        <v>4</v>
      </c>
      <c r="G26" s="20">
        <v>8</v>
      </c>
      <c r="H26" s="20"/>
      <c r="I26" s="24">
        <v>60.24</v>
      </c>
      <c r="J26" s="25">
        <v>17.75</v>
      </c>
      <c r="K26" s="21">
        <v>25</v>
      </c>
      <c r="L26" s="26">
        <v>1285.68</v>
      </c>
      <c r="M26" s="26"/>
      <c r="N26" s="24">
        <v>66.040000000000006</v>
      </c>
      <c r="O26" s="25">
        <v>16.399999999999999</v>
      </c>
      <c r="P26" s="21">
        <v>45</v>
      </c>
      <c r="Q26" s="20"/>
      <c r="R26" s="27">
        <f t="shared" si="8"/>
        <v>0.33941278858608348</v>
      </c>
      <c r="S26" s="20">
        <v>-1</v>
      </c>
      <c r="T26" s="23">
        <f t="shared" si="9"/>
        <v>-0.3434229172217676</v>
      </c>
      <c r="U26" s="23">
        <f t="shared" si="10"/>
        <v>-0.33962118751082554</v>
      </c>
      <c r="V26" s="180">
        <f t="shared" si="11"/>
        <v>-0.34974349743497468</v>
      </c>
      <c r="W26" s="23" t="s">
        <v>39</v>
      </c>
      <c r="X26" s="182" t="s">
        <v>27</v>
      </c>
      <c r="AH26" s="8">
        <v>16.399999999999999</v>
      </c>
      <c r="AI26" s="8">
        <v>45</v>
      </c>
      <c r="AW26" s="8" t="s">
        <v>38</v>
      </c>
      <c r="AX26" s="8">
        <v>4</v>
      </c>
    </row>
    <row r="27" spans="1:50" ht="16.5" customHeight="1" x14ac:dyDescent="0.2">
      <c r="A27" s="182" t="s">
        <v>27</v>
      </c>
      <c r="B27" s="90" t="s">
        <v>41</v>
      </c>
      <c r="C27" s="21">
        <v>2007</v>
      </c>
      <c r="D27" s="22" t="s">
        <v>42</v>
      </c>
      <c r="E27" s="23" t="s">
        <v>43</v>
      </c>
      <c r="F27" s="20">
        <v>5</v>
      </c>
      <c r="G27" s="20">
        <v>10</v>
      </c>
      <c r="H27" s="90"/>
      <c r="I27" s="163">
        <v>39</v>
      </c>
      <c r="J27" s="155">
        <v>13.9</v>
      </c>
      <c r="K27" s="88">
        <v>12</v>
      </c>
      <c r="L27" s="175" t="s">
        <v>44</v>
      </c>
      <c r="M27" s="175"/>
      <c r="N27" s="163">
        <v>41</v>
      </c>
      <c r="O27" s="155">
        <v>11.1</v>
      </c>
      <c r="P27" s="88">
        <v>12</v>
      </c>
      <c r="Q27" s="90"/>
      <c r="R27" s="157">
        <f t="shared" si="8"/>
        <v>0.15900582349616935</v>
      </c>
      <c r="S27" s="20">
        <v>-1</v>
      </c>
      <c r="T27" s="23">
        <f t="shared" si="9"/>
        <v>-0.15900582349616935</v>
      </c>
      <c r="U27" s="23">
        <f t="shared" si="10"/>
        <v>-0.15352286406526697</v>
      </c>
      <c r="V27" s="180">
        <f t="shared" si="11"/>
        <v>-0.17396707051879468</v>
      </c>
      <c r="W27" s="23" t="s">
        <v>43</v>
      </c>
      <c r="X27" s="182" t="s">
        <v>27</v>
      </c>
      <c r="AH27" s="8">
        <v>11.1</v>
      </c>
      <c r="AI27" s="8">
        <v>12</v>
      </c>
      <c r="AW27" s="8" t="s">
        <v>41</v>
      </c>
      <c r="AX27" s="8">
        <v>6</v>
      </c>
    </row>
    <row r="28" spans="1:50" ht="16.5" customHeight="1" x14ac:dyDescent="0.2">
      <c r="A28" s="182" t="s">
        <v>27</v>
      </c>
      <c r="B28" s="90" t="s">
        <v>41</v>
      </c>
      <c r="C28" s="21">
        <v>2007</v>
      </c>
      <c r="D28" s="22" t="s">
        <v>49</v>
      </c>
      <c r="E28" s="23" t="s">
        <v>50</v>
      </c>
      <c r="F28" s="20">
        <v>5</v>
      </c>
      <c r="G28" s="20">
        <v>11</v>
      </c>
      <c r="H28" s="90"/>
      <c r="I28" s="163">
        <v>21</v>
      </c>
      <c r="J28" s="155">
        <v>11.1</v>
      </c>
      <c r="K28" s="88">
        <v>12</v>
      </c>
      <c r="L28" s="175" t="s">
        <v>44</v>
      </c>
      <c r="M28" s="175"/>
      <c r="N28" s="163">
        <v>23</v>
      </c>
      <c r="O28" s="155">
        <v>3.8</v>
      </c>
      <c r="P28" s="88">
        <v>12</v>
      </c>
      <c r="Q28" s="90"/>
      <c r="R28" s="157">
        <f t="shared" si="8"/>
        <v>0.24107761462474395</v>
      </c>
      <c r="S28" s="20">
        <v>-1</v>
      </c>
      <c r="T28" s="23">
        <f t="shared" si="9"/>
        <v>-0.24107761462474395</v>
      </c>
      <c r="U28" s="23">
        <f t="shared" si="10"/>
        <v>-0.23276459343078726</v>
      </c>
      <c r="V28" s="180">
        <f t="shared" si="11"/>
        <v>-0.50816696914700543</v>
      </c>
      <c r="W28" s="23" t="s">
        <v>50</v>
      </c>
      <c r="X28" s="182" t="s">
        <v>27</v>
      </c>
      <c r="AH28" s="8">
        <v>3.8</v>
      </c>
      <c r="AI28" s="8">
        <v>12</v>
      </c>
      <c r="AW28" s="8" t="s">
        <v>41</v>
      </c>
      <c r="AX28" s="8">
        <v>7</v>
      </c>
    </row>
    <row r="29" spans="1:50" ht="16.5" customHeight="1" x14ac:dyDescent="0.2">
      <c r="A29" s="182" t="s">
        <v>27</v>
      </c>
      <c r="B29" s="90" t="s">
        <v>53</v>
      </c>
      <c r="C29" s="21">
        <v>2015</v>
      </c>
      <c r="D29" s="22" t="s">
        <v>54</v>
      </c>
      <c r="E29" s="23" t="s">
        <v>55</v>
      </c>
      <c r="F29" s="20">
        <v>6</v>
      </c>
      <c r="G29" s="20">
        <v>13</v>
      </c>
      <c r="H29" s="90"/>
      <c r="I29" s="163">
        <v>108.5</v>
      </c>
      <c r="J29" s="155">
        <v>17.82</v>
      </c>
      <c r="K29" s="88">
        <v>14</v>
      </c>
      <c r="L29" s="175" t="s">
        <v>44</v>
      </c>
      <c r="M29" s="175"/>
      <c r="N29" s="163">
        <v>105.93</v>
      </c>
      <c r="O29" s="155">
        <v>9.73</v>
      </c>
      <c r="P29" s="88">
        <v>14</v>
      </c>
      <c r="Q29" s="90"/>
      <c r="R29" s="157">
        <f t="shared" si="8"/>
        <v>-0.17901144563596375</v>
      </c>
      <c r="S29" s="20">
        <v>1</v>
      </c>
      <c r="T29" s="23">
        <f t="shared" si="9"/>
        <v>-0.17901144563596375</v>
      </c>
      <c r="U29" s="23">
        <f t="shared" si="10"/>
        <v>-0.17379752003491625</v>
      </c>
      <c r="V29" s="180">
        <f t="shared" si="11"/>
        <v>-0.25643839990420908</v>
      </c>
      <c r="W29" s="23" t="s">
        <v>55</v>
      </c>
      <c r="X29" s="182" t="s">
        <v>27</v>
      </c>
      <c r="AH29" s="8">
        <v>9.6999999999999993</v>
      </c>
      <c r="AI29" s="8">
        <v>14</v>
      </c>
      <c r="AW29" s="8" t="s">
        <v>53</v>
      </c>
      <c r="AX29" s="8">
        <v>9</v>
      </c>
    </row>
    <row r="30" spans="1:50" ht="16.5" customHeight="1" x14ac:dyDescent="0.2">
      <c r="A30" s="182" t="s">
        <v>27</v>
      </c>
      <c r="B30" s="90" t="s">
        <v>53</v>
      </c>
      <c r="C30" s="21">
        <v>2015</v>
      </c>
      <c r="D30" s="22" t="s">
        <v>58</v>
      </c>
      <c r="E30" s="23" t="s">
        <v>59</v>
      </c>
      <c r="F30" s="20">
        <v>6</v>
      </c>
      <c r="G30" s="20">
        <v>14</v>
      </c>
      <c r="H30" s="90"/>
      <c r="I30" s="163">
        <v>5.57</v>
      </c>
      <c r="J30" s="155">
        <v>1.1599999999999999</v>
      </c>
      <c r="K30" s="88">
        <v>14</v>
      </c>
      <c r="L30" s="175" t="s">
        <v>44</v>
      </c>
      <c r="M30" s="175"/>
      <c r="N30" s="163">
        <v>6</v>
      </c>
      <c r="O30" s="155">
        <v>0.1</v>
      </c>
      <c r="P30" s="88">
        <v>14</v>
      </c>
      <c r="Q30" s="90"/>
      <c r="R30" s="157">
        <f t="shared" si="8"/>
        <v>0.52229717078688032</v>
      </c>
      <c r="S30" s="20">
        <v>-1</v>
      </c>
      <c r="T30" s="23">
        <f t="shared" si="9"/>
        <v>-0.52229717078688032</v>
      </c>
      <c r="U30" s="23">
        <f t="shared" si="10"/>
        <v>-0.50708463183192265</v>
      </c>
      <c r="V30" s="180">
        <f t="shared" si="11"/>
        <v>-4.1747572815533953</v>
      </c>
      <c r="W30" s="23" t="s">
        <v>59</v>
      </c>
      <c r="X30" s="182" t="s">
        <v>27</v>
      </c>
      <c r="AH30" s="8">
        <v>0.1</v>
      </c>
      <c r="AI30" s="8">
        <v>14</v>
      </c>
      <c r="AW30" s="8" t="s">
        <v>53</v>
      </c>
      <c r="AX30" s="8">
        <v>10</v>
      </c>
    </row>
    <row r="31" spans="1:50" ht="16.5" customHeight="1" x14ac:dyDescent="0.2">
      <c r="A31" s="182" t="s">
        <v>27</v>
      </c>
      <c r="B31" s="90" t="s">
        <v>60</v>
      </c>
      <c r="C31" s="21">
        <v>2017</v>
      </c>
      <c r="D31" s="22" t="s">
        <v>61</v>
      </c>
      <c r="E31" s="23" t="s">
        <v>62</v>
      </c>
      <c r="F31" s="20">
        <v>7</v>
      </c>
      <c r="G31" s="20">
        <v>15</v>
      </c>
      <c r="H31" s="90"/>
      <c r="I31" s="163">
        <v>37.299999999999997</v>
      </c>
      <c r="J31" s="155">
        <v>11.3</v>
      </c>
      <c r="K31" s="88">
        <v>37</v>
      </c>
      <c r="L31" s="89">
        <v>720</v>
      </c>
      <c r="M31" s="89"/>
      <c r="N31" s="163">
        <v>27.1</v>
      </c>
      <c r="O31" s="155">
        <v>10.199999999999999</v>
      </c>
      <c r="P31" s="88">
        <v>30</v>
      </c>
      <c r="Q31" s="90"/>
      <c r="R31" s="157">
        <f t="shared" si="8"/>
        <v>-0.94759778911230153</v>
      </c>
      <c r="S31" s="20">
        <v>1</v>
      </c>
      <c r="T31" s="23">
        <f t="shared" si="9"/>
        <v>-0.94243284589976595</v>
      </c>
      <c r="U31" s="23">
        <f t="shared" si="10"/>
        <v>-0.93151663532949835</v>
      </c>
      <c r="V31" s="180">
        <f t="shared" si="11"/>
        <v>-0.98841698841698811</v>
      </c>
      <c r="W31" s="23" t="s">
        <v>62</v>
      </c>
      <c r="X31" s="182" t="s">
        <v>27</v>
      </c>
      <c r="AB31" s="19" t="s">
        <v>634</v>
      </c>
      <c r="AH31" s="8">
        <v>10.199999999999999</v>
      </c>
      <c r="AI31" s="8">
        <v>30</v>
      </c>
      <c r="AW31" s="8" t="s">
        <v>60</v>
      </c>
      <c r="AX31" s="8">
        <v>14</v>
      </c>
    </row>
    <row r="32" spans="1:50" ht="16.5" customHeight="1" x14ac:dyDescent="0.2">
      <c r="A32" s="182" t="s">
        <v>27</v>
      </c>
      <c r="B32" s="90" t="s">
        <v>60</v>
      </c>
      <c r="C32" s="21">
        <v>2017</v>
      </c>
      <c r="D32" s="22" t="s">
        <v>64</v>
      </c>
      <c r="E32" s="23" t="s">
        <v>30</v>
      </c>
      <c r="F32" s="20">
        <v>7</v>
      </c>
      <c r="G32" s="20">
        <v>16</v>
      </c>
      <c r="H32" s="90"/>
      <c r="I32" s="163">
        <v>35.9</v>
      </c>
      <c r="J32" s="155">
        <v>11.4</v>
      </c>
      <c r="K32" s="88">
        <v>37</v>
      </c>
      <c r="L32" s="89">
        <v>720</v>
      </c>
      <c r="M32" s="89"/>
      <c r="N32" s="163">
        <v>41.8</v>
      </c>
      <c r="O32" s="155">
        <v>12.9</v>
      </c>
      <c r="P32" s="88">
        <v>30</v>
      </c>
      <c r="Q32" s="90"/>
      <c r="R32" s="157">
        <f t="shared" si="8"/>
        <v>0.4846741857884948</v>
      </c>
      <c r="S32" s="90">
        <v>-1</v>
      </c>
      <c r="T32" s="23">
        <f t="shared" si="9"/>
        <v>-0.48791615148286677</v>
      </c>
      <c r="U32" s="23">
        <f t="shared" si="10"/>
        <v>-0.48226461304870227</v>
      </c>
      <c r="V32" s="180">
        <f t="shared" si="11"/>
        <v>-0.45206668462482402</v>
      </c>
      <c r="W32" s="23" t="s">
        <v>30</v>
      </c>
      <c r="X32" s="182" t="s">
        <v>27</v>
      </c>
      <c r="AB32" s="19" t="s">
        <v>635</v>
      </c>
      <c r="AH32" s="8">
        <v>5</v>
      </c>
      <c r="AI32" s="8">
        <v>30</v>
      </c>
      <c r="AW32" s="8" t="s">
        <v>65</v>
      </c>
      <c r="AX32" s="8">
        <v>15</v>
      </c>
    </row>
    <row r="33" spans="1:50" ht="16.5" customHeight="1" x14ac:dyDescent="0.2">
      <c r="A33" s="182" t="s">
        <v>27</v>
      </c>
      <c r="B33" s="90" t="s">
        <v>60</v>
      </c>
      <c r="C33" s="21">
        <v>2017</v>
      </c>
      <c r="D33" s="22" t="s">
        <v>66</v>
      </c>
      <c r="E33" s="23" t="s">
        <v>50</v>
      </c>
      <c r="F33" s="20">
        <v>7</v>
      </c>
      <c r="G33" s="20">
        <v>17</v>
      </c>
      <c r="H33" s="90"/>
      <c r="I33" s="163">
        <v>21.4</v>
      </c>
      <c r="J33" s="155">
        <v>6.2</v>
      </c>
      <c r="K33" s="88">
        <v>37</v>
      </c>
      <c r="L33" s="89">
        <v>720</v>
      </c>
      <c r="M33" s="89"/>
      <c r="N33" s="163">
        <v>25</v>
      </c>
      <c r="O33" s="155">
        <v>5</v>
      </c>
      <c r="P33" s="88">
        <v>30</v>
      </c>
      <c r="Q33" s="90"/>
      <c r="R33" s="157">
        <f t="shared" si="8"/>
        <v>0.63919874180559166</v>
      </c>
      <c r="S33" s="90">
        <v>-1</v>
      </c>
      <c r="T33" s="23">
        <f t="shared" si="9"/>
        <v>-0.63202952084964537</v>
      </c>
      <c r="U33" s="23">
        <f t="shared" si="10"/>
        <v>-0.62470871558883867</v>
      </c>
      <c r="V33" s="180">
        <f t="shared" si="11"/>
        <v>-0.71166023166023196</v>
      </c>
      <c r="W33" s="23" t="s">
        <v>50</v>
      </c>
      <c r="X33" s="182" t="s">
        <v>27</v>
      </c>
      <c r="AB33" s="8" t="s">
        <v>636</v>
      </c>
      <c r="AH33" s="8">
        <v>5</v>
      </c>
      <c r="AI33" s="8">
        <v>30</v>
      </c>
      <c r="AW33" s="8" t="s">
        <v>65</v>
      </c>
      <c r="AX33" s="8">
        <v>15</v>
      </c>
    </row>
    <row r="34" spans="1:50" ht="16.5" customHeight="1" x14ac:dyDescent="0.2">
      <c r="A34" s="182" t="s">
        <v>27</v>
      </c>
      <c r="B34" s="90" t="s">
        <v>60</v>
      </c>
      <c r="C34" s="21">
        <v>2017</v>
      </c>
      <c r="D34" s="22" t="s">
        <v>69</v>
      </c>
      <c r="E34" s="23" t="s">
        <v>70</v>
      </c>
      <c r="F34" s="20">
        <v>7</v>
      </c>
      <c r="G34" s="20">
        <v>19</v>
      </c>
      <c r="H34" s="90"/>
      <c r="I34" s="163">
        <v>3.9</v>
      </c>
      <c r="J34" s="155">
        <v>1.2</v>
      </c>
      <c r="K34" s="88">
        <v>37</v>
      </c>
      <c r="L34" s="89">
        <v>720</v>
      </c>
      <c r="M34" s="89"/>
      <c r="N34" s="163">
        <v>4.4000000000000004</v>
      </c>
      <c r="O34" s="155">
        <v>0.9</v>
      </c>
      <c r="P34" s="88">
        <v>30</v>
      </c>
      <c r="Q34" s="90"/>
      <c r="R34" s="157">
        <f t="shared" si="8"/>
        <v>0.47140452079103212</v>
      </c>
      <c r="S34" s="20">
        <v>-1</v>
      </c>
      <c r="T34" s="23">
        <f t="shared" si="9"/>
        <v>-0.46445399085842726</v>
      </c>
      <c r="U34" s="23">
        <f t="shared" si="10"/>
        <v>-0.45907421490253814</v>
      </c>
      <c r="V34" s="180">
        <f t="shared" si="11"/>
        <v>-0.54912054912054964</v>
      </c>
      <c r="W34" s="23" t="s">
        <v>70</v>
      </c>
      <c r="X34" s="182" t="s">
        <v>27</v>
      </c>
      <c r="AH34" s="8">
        <v>0.9</v>
      </c>
      <c r="AI34" s="8">
        <v>30</v>
      </c>
      <c r="AW34" s="8" t="s">
        <v>60</v>
      </c>
      <c r="AX34" s="8">
        <v>13</v>
      </c>
    </row>
    <row r="35" spans="1:50" ht="16.5" customHeight="1" x14ac:dyDescent="0.2">
      <c r="A35" s="182" t="s">
        <v>27</v>
      </c>
      <c r="B35" s="90" t="s">
        <v>60</v>
      </c>
      <c r="C35" s="21">
        <v>2017</v>
      </c>
      <c r="D35" s="22" t="s">
        <v>54</v>
      </c>
      <c r="E35" s="20" t="s">
        <v>71</v>
      </c>
      <c r="F35" s="20">
        <v>7</v>
      </c>
      <c r="G35" s="20">
        <v>20</v>
      </c>
      <c r="H35" s="90"/>
      <c r="I35" s="163">
        <v>8.1</v>
      </c>
      <c r="J35" s="155">
        <v>5.0999999999999996</v>
      </c>
      <c r="K35" s="88">
        <v>37</v>
      </c>
      <c r="L35" s="89">
        <v>720</v>
      </c>
      <c r="M35" s="89"/>
      <c r="N35" s="163">
        <v>6.8</v>
      </c>
      <c r="O35" s="155">
        <v>4.4000000000000004</v>
      </c>
      <c r="P35" s="88">
        <v>30</v>
      </c>
      <c r="Q35" s="90"/>
      <c r="R35" s="157">
        <f t="shared" si="8"/>
        <v>-0.2729442568277331</v>
      </c>
      <c r="S35" s="20">
        <v>1</v>
      </c>
      <c r="T35" s="23">
        <f t="shared" si="9"/>
        <v>-0.27081525065373824</v>
      </c>
      <c r="U35" s="23">
        <f t="shared" si="10"/>
        <v>-0.26767839446855979</v>
      </c>
      <c r="V35" s="180">
        <f t="shared" si="11"/>
        <v>-0.29203229203229197</v>
      </c>
      <c r="W35" s="20" t="s">
        <v>71</v>
      </c>
      <c r="X35" s="182" t="s">
        <v>27</v>
      </c>
      <c r="AH35" s="8">
        <v>4.4000000000000004</v>
      </c>
      <c r="AI35" s="8">
        <v>30</v>
      </c>
      <c r="AW35" s="8" t="s">
        <v>60</v>
      </c>
      <c r="AX35" s="8">
        <v>12</v>
      </c>
    </row>
    <row r="36" spans="1:50" ht="16.5" customHeight="1" x14ac:dyDescent="0.2">
      <c r="A36" s="182" t="s">
        <v>27</v>
      </c>
      <c r="B36" s="90" t="s">
        <v>509</v>
      </c>
      <c r="C36" s="21">
        <v>2021</v>
      </c>
      <c r="D36" s="22" t="s">
        <v>42</v>
      </c>
      <c r="E36" s="23" t="s">
        <v>43</v>
      </c>
      <c r="F36" s="20">
        <v>8</v>
      </c>
      <c r="G36" s="20">
        <v>21</v>
      </c>
      <c r="H36" s="90"/>
      <c r="I36" s="163">
        <v>16</v>
      </c>
      <c r="J36" s="155">
        <f>(23-13)/1.35</f>
        <v>7.4074074074074066</v>
      </c>
      <c r="K36" s="88">
        <v>19</v>
      </c>
      <c r="L36" s="89">
        <v>890</v>
      </c>
      <c r="M36" s="89"/>
      <c r="N36" s="163">
        <v>21</v>
      </c>
      <c r="O36" s="155">
        <f>(23-20)/1.35</f>
        <v>2.2222222222222219</v>
      </c>
      <c r="P36" s="88">
        <v>25</v>
      </c>
      <c r="Q36" s="90"/>
      <c r="R36" s="157">
        <f t="shared" si="8"/>
        <v>0.91433537299610512</v>
      </c>
      <c r="S36" s="20">
        <v>-1</v>
      </c>
      <c r="T36" s="136">
        <f t="shared" si="9"/>
        <v>-0.9742785792574935</v>
      </c>
      <c r="U36" s="23">
        <f t="shared" si="10"/>
        <v>-0.95677656885167028</v>
      </c>
      <c r="V36" s="181">
        <f t="shared" si="11"/>
        <v>-2.2095808383233537</v>
      </c>
      <c r="W36" s="23" t="s">
        <v>43</v>
      </c>
      <c r="X36" s="182" t="s">
        <v>27</v>
      </c>
    </row>
    <row r="37" spans="1:50" ht="16.5" customHeight="1" x14ac:dyDescent="0.2">
      <c r="A37" s="182" t="s">
        <v>27</v>
      </c>
      <c r="B37" s="90" t="s">
        <v>509</v>
      </c>
      <c r="C37" s="21">
        <v>2021</v>
      </c>
      <c r="D37" s="22" t="s">
        <v>49</v>
      </c>
      <c r="E37" s="23" t="s">
        <v>50</v>
      </c>
      <c r="F37" s="20">
        <v>8</v>
      </c>
      <c r="G37" s="20">
        <v>22</v>
      </c>
      <c r="H37" s="90"/>
      <c r="I37" s="163">
        <v>25</v>
      </c>
      <c r="J37" s="155">
        <f>(29-17)/1.35</f>
        <v>8.8888888888888875</v>
      </c>
      <c r="K37" s="88">
        <v>19</v>
      </c>
      <c r="L37" s="89">
        <v>890</v>
      </c>
      <c r="M37" s="89"/>
      <c r="N37" s="163">
        <v>34</v>
      </c>
      <c r="O37" s="155">
        <f>(36-30)/1.35</f>
        <v>4.4444444444444438</v>
      </c>
      <c r="P37" s="88">
        <v>25</v>
      </c>
      <c r="Q37" s="90"/>
      <c r="R37" s="157">
        <f t="shared" si="8"/>
        <v>1.2807224523681937</v>
      </c>
      <c r="S37" s="20">
        <v>-1</v>
      </c>
      <c r="T37" s="136">
        <f t="shared" si="9"/>
        <v>-1.3394116012264492</v>
      </c>
      <c r="U37" s="23">
        <f t="shared" si="10"/>
        <v>-1.3153503149768722</v>
      </c>
      <c r="V37" s="181">
        <f t="shared" si="11"/>
        <v>-1.9886227544910182</v>
      </c>
      <c r="W37" s="23" t="s">
        <v>50</v>
      </c>
      <c r="X37" s="182" t="s">
        <v>27</v>
      </c>
    </row>
    <row r="38" spans="1:50" ht="16.5" customHeight="1" x14ac:dyDescent="0.2">
      <c r="A38" s="182" t="s">
        <v>27</v>
      </c>
      <c r="B38" s="90" t="s">
        <v>72</v>
      </c>
      <c r="C38" s="21">
        <v>2017</v>
      </c>
      <c r="D38" s="22" t="s">
        <v>54</v>
      </c>
      <c r="E38" s="20" t="s">
        <v>71</v>
      </c>
      <c r="F38" s="20">
        <v>9</v>
      </c>
      <c r="G38" s="20">
        <v>24</v>
      </c>
      <c r="H38" s="90"/>
      <c r="I38" s="163">
        <v>21</v>
      </c>
      <c r="J38" s="155">
        <v>32</v>
      </c>
      <c r="K38" s="88">
        <v>25</v>
      </c>
      <c r="L38" s="89">
        <v>720</v>
      </c>
      <c r="M38" s="89"/>
      <c r="N38" s="163">
        <v>12</v>
      </c>
      <c r="O38" s="155">
        <v>9</v>
      </c>
      <c r="P38" s="88">
        <v>15</v>
      </c>
      <c r="Q38" s="90"/>
      <c r="R38" s="157">
        <f t="shared" si="8"/>
        <v>-0.38289206683036531</v>
      </c>
      <c r="S38" s="20">
        <v>1</v>
      </c>
      <c r="T38" s="23">
        <f t="shared" si="9"/>
        <v>-0.34600571285103698</v>
      </c>
      <c r="U38" s="23">
        <f t="shared" si="10"/>
        <v>-0.3391314271652548</v>
      </c>
      <c r="V38" s="180">
        <f t="shared" si="11"/>
        <v>-0.98013245033112584</v>
      </c>
      <c r="W38" s="20" t="s">
        <v>71</v>
      </c>
      <c r="X38" s="182" t="s">
        <v>27</v>
      </c>
      <c r="AH38" s="8">
        <v>9</v>
      </c>
      <c r="AI38" s="8">
        <v>15</v>
      </c>
      <c r="AW38" s="8" t="s">
        <v>72</v>
      </c>
      <c r="AX38" s="8">
        <v>16</v>
      </c>
    </row>
    <row r="39" spans="1:50" ht="16.5" customHeight="1" x14ac:dyDescent="0.2">
      <c r="A39" s="182" t="s">
        <v>27</v>
      </c>
      <c r="B39" s="88" t="s">
        <v>77</v>
      </c>
      <c r="C39" s="21">
        <v>2020</v>
      </c>
      <c r="D39" s="22" t="s">
        <v>61</v>
      </c>
      <c r="E39" s="23" t="s">
        <v>62</v>
      </c>
      <c r="F39" s="21">
        <v>10</v>
      </c>
      <c r="G39" s="20">
        <v>25</v>
      </c>
      <c r="H39" s="90"/>
      <c r="I39" s="163">
        <v>41.6</v>
      </c>
      <c r="J39" s="155">
        <v>12</v>
      </c>
      <c r="K39" s="88">
        <v>19</v>
      </c>
      <c r="L39" s="89">
        <v>1042</v>
      </c>
      <c r="M39" s="89"/>
      <c r="N39" s="163">
        <v>39.4</v>
      </c>
      <c r="O39" s="155">
        <v>9.1</v>
      </c>
      <c r="P39" s="88">
        <v>19</v>
      </c>
      <c r="Q39" s="88"/>
      <c r="R39" s="157">
        <f t="shared" si="8"/>
        <v>-0.20658870789239581</v>
      </c>
      <c r="S39" s="20">
        <v>1</v>
      </c>
      <c r="T39" s="23">
        <f t="shared" si="9"/>
        <v>-0.20658870789239581</v>
      </c>
      <c r="U39" s="23">
        <f t="shared" si="10"/>
        <v>-0.20225467905549241</v>
      </c>
      <c r="V39" s="180">
        <f t="shared" si="11"/>
        <v>-0.23668639053254473</v>
      </c>
      <c r="W39" s="23" t="s">
        <v>62</v>
      </c>
      <c r="X39" s="182" t="s">
        <v>27</v>
      </c>
    </row>
    <row r="40" spans="1:50" ht="16.5" customHeight="1" x14ac:dyDescent="0.2">
      <c r="A40" s="182" t="s">
        <v>27</v>
      </c>
      <c r="B40" s="88" t="s">
        <v>77</v>
      </c>
      <c r="C40" s="21">
        <v>2020</v>
      </c>
      <c r="D40" s="22" t="s">
        <v>64</v>
      </c>
      <c r="E40" s="23" t="s">
        <v>30</v>
      </c>
      <c r="F40" s="21">
        <v>10</v>
      </c>
      <c r="G40" s="20">
        <v>26</v>
      </c>
      <c r="H40" s="20"/>
      <c r="I40" s="163">
        <v>39</v>
      </c>
      <c r="J40" s="155">
        <v>11</v>
      </c>
      <c r="K40" s="88">
        <v>19</v>
      </c>
      <c r="L40" s="89">
        <v>1042</v>
      </c>
      <c r="M40" s="89"/>
      <c r="N40" s="163">
        <v>47.5</v>
      </c>
      <c r="O40" s="155">
        <v>9.3000000000000007</v>
      </c>
      <c r="P40" s="88">
        <v>19</v>
      </c>
      <c r="Q40" s="88"/>
      <c r="R40" s="157">
        <f t="shared" si="8"/>
        <v>0.83451728833808958</v>
      </c>
      <c r="S40" s="20">
        <v>-1</v>
      </c>
      <c r="T40" s="23">
        <f t="shared" si="9"/>
        <v>-0.83451728833808958</v>
      </c>
      <c r="U40" s="23">
        <f t="shared" si="10"/>
        <v>-0.81700993263868915</v>
      </c>
      <c r="V40" s="180">
        <f t="shared" si="11"/>
        <v>-0.89480412061057224</v>
      </c>
      <c r="W40" s="23" t="s">
        <v>30</v>
      </c>
      <c r="X40" s="182" t="s">
        <v>27</v>
      </c>
    </row>
    <row r="41" spans="1:50" ht="16.5" customHeight="1" x14ac:dyDescent="0.2">
      <c r="A41" s="182" t="s">
        <v>27</v>
      </c>
      <c r="B41" s="88" t="s">
        <v>77</v>
      </c>
      <c r="C41" s="21">
        <v>2020</v>
      </c>
      <c r="D41" s="22" t="s">
        <v>66</v>
      </c>
      <c r="E41" s="23" t="s">
        <v>50</v>
      </c>
      <c r="F41" s="21">
        <v>10</v>
      </c>
      <c r="G41" s="20">
        <v>27</v>
      </c>
      <c r="H41" s="20"/>
      <c r="I41" s="163">
        <v>20.100000000000001</v>
      </c>
      <c r="J41" s="155">
        <v>4.8</v>
      </c>
      <c r="K41" s="88">
        <v>19</v>
      </c>
      <c r="L41" s="89">
        <v>1042</v>
      </c>
      <c r="M41" s="89"/>
      <c r="N41" s="163">
        <v>23.5</v>
      </c>
      <c r="O41" s="155">
        <v>3.6</v>
      </c>
      <c r="P41" s="88">
        <v>19</v>
      </c>
      <c r="Q41" s="88"/>
      <c r="R41" s="157">
        <f t="shared" si="8"/>
        <v>0.80138768534475358</v>
      </c>
      <c r="S41" s="20">
        <v>-1</v>
      </c>
      <c r="T41" s="23">
        <f t="shared" si="9"/>
        <v>-0.80138768534475358</v>
      </c>
      <c r="U41" s="23">
        <f t="shared" si="10"/>
        <v>-0.78457535628157693</v>
      </c>
      <c r="V41" s="180">
        <f t="shared" si="11"/>
        <v>-0.92463092463092422</v>
      </c>
      <c r="W41" s="23" t="s">
        <v>50</v>
      </c>
      <c r="X41" s="182" t="s">
        <v>27</v>
      </c>
    </row>
    <row r="42" spans="1:50" ht="16.5" customHeight="1" x14ac:dyDescent="0.2">
      <c r="A42" s="182" t="s">
        <v>27</v>
      </c>
      <c r="B42" s="88" t="s">
        <v>77</v>
      </c>
      <c r="C42" s="21">
        <v>2020</v>
      </c>
      <c r="D42" s="22" t="s">
        <v>69</v>
      </c>
      <c r="E42" s="23" t="s">
        <v>70</v>
      </c>
      <c r="F42" s="21">
        <v>10</v>
      </c>
      <c r="G42" s="20">
        <v>29</v>
      </c>
      <c r="H42" s="20"/>
      <c r="I42" s="24">
        <v>4</v>
      </c>
      <c r="J42" s="25">
        <v>1.1000000000000001</v>
      </c>
      <c r="K42" s="21">
        <v>19</v>
      </c>
      <c r="L42" s="26">
        <v>1042</v>
      </c>
      <c r="M42" s="26"/>
      <c r="N42" s="24">
        <v>4.0999999999999996</v>
      </c>
      <c r="O42" s="25">
        <v>1</v>
      </c>
      <c r="P42" s="21">
        <v>19</v>
      </c>
      <c r="Q42" s="21"/>
      <c r="R42" s="27">
        <f t="shared" si="8"/>
        <v>9.5130298830898477E-2</v>
      </c>
      <c r="S42" s="20">
        <v>-1</v>
      </c>
      <c r="T42" s="23">
        <f t="shared" si="9"/>
        <v>-9.5130298830898477E-2</v>
      </c>
      <c r="U42" s="23">
        <f t="shared" si="10"/>
        <v>-9.3134558295984521E-2</v>
      </c>
      <c r="V42" s="180">
        <f t="shared" si="11"/>
        <v>-9.7902097902097557E-2</v>
      </c>
      <c r="W42" s="23" t="s">
        <v>70</v>
      </c>
      <c r="X42" s="182" t="s">
        <v>27</v>
      </c>
    </row>
    <row r="43" spans="1:50" ht="16.5" customHeight="1" x14ac:dyDescent="0.2">
      <c r="A43" s="182" t="s">
        <v>27</v>
      </c>
      <c r="B43" s="88" t="s">
        <v>77</v>
      </c>
      <c r="C43" s="21">
        <v>2020</v>
      </c>
      <c r="D43" s="22" t="s">
        <v>54</v>
      </c>
      <c r="E43" s="20" t="s">
        <v>71</v>
      </c>
      <c r="F43" s="21">
        <v>10</v>
      </c>
      <c r="G43" s="20">
        <v>30</v>
      </c>
      <c r="H43" s="20"/>
      <c r="I43" s="24">
        <v>7</v>
      </c>
      <c r="J43" s="25">
        <v>3.1</v>
      </c>
      <c r="K43" s="21">
        <v>19</v>
      </c>
      <c r="L43" s="26">
        <v>1042</v>
      </c>
      <c r="M43" s="26"/>
      <c r="N43" s="24">
        <v>7.8</v>
      </c>
      <c r="O43" s="25">
        <v>3.3</v>
      </c>
      <c r="P43" s="21">
        <v>19</v>
      </c>
      <c r="Q43" s="21"/>
      <c r="R43" s="27">
        <f t="shared" si="8"/>
        <v>0.24987801902176965</v>
      </c>
      <c r="S43" s="20">
        <v>1</v>
      </c>
      <c r="T43" s="23">
        <f t="shared" si="9"/>
        <v>0.24987801902176965</v>
      </c>
      <c r="U43" s="23">
        <f t="shared" si="10"/>
        <v>0.24463582281851576</v>
      </c>
      <c r="V43" s="180">
        <f t="shared" si="11"/>
        <v>0.23733841915660095</v>
      </c>
      <c r="W43" s="20" t="s">
        <v>71</v>
      </c>
      <c r="X43" s="182" t="s">
        <v>27</v>
      </c>
    </row>
    <row r="44" spans="1:50" ht="16.5" customHeight="1" x14ac:dyDescent="0.2">
      <c r="A44" s="182" t="s">
        <v>27</v>
      </c>
      <c r="B44" s="90" t="s">
        <v>76</v>
      </c>
      <c r="C44" s="21">
        <v>1996</v>
      </c>
      <c r="D44" s="22" t="s">
        <v>74</v>
      </c>
      <c r="E44" s="20"/>
      <c r="F44" s="20">
        <v>11</v>
      </c>
      <c r="G44" s="20">
        <v>31</v>
      </c>
      <c r="H44" s="20"/>
      <c r="I44" s="164">
        <v>4.4000000000000004</v>
      </c>
      <c r="J44" s="155">
        <v>1.71</v>
      </c>
      <c r="K44" s="88">
        <v>11</v>
      </c>
      <c r="L44" s="165">
        <v>1545</v>
      </c>
      <c r="M44" s="165"/>
      <c r="N44" s="163">
        <v>5.59</v>
      </c>
      <c r="O44" s="155">
        <v>1.33</v>
      </c>
      <c r="P44" s="88">
        <v>22</v>
      </c>
      <c r="Q44" s="90"/>
      <c r="R44" s="157">
        <f t="shared" si="8"/>
        <v>0.77684912716398946</v>
      </c>
      <c r="S44" s="20">
        <v>-1</v>
      </c>
      <c r="T44" s="23">
        <f t="shared" si="9"/>
        <v>-0.81317373496962264</v>
      </c>
      <c r="U44" s="23">
        <f t="shared" si="10"/>
        <v>-0.79334022923865621</v>
      </c>
      <c r="V44" s="180">
        <f t="shared" si="11"/>
        <v>-0.8729139922978173</v>
      </c>
      <c r="W44" s="20"/>
      <c r="X44" s="182" t="s">
        <v>27</v>
      </c>
    </row>
    <row r="45" spans="1:50" ht="16.5" customHeight="1" x14ac:dyDescent="0.2">
      <c r="A45" s="182" t="s">
        <v>27</v>
      </c>
      <c r="B45" s="90" t="s">
        <v>76</v>
      </c>
      <c r="C45" s="21">
        <v>1996</v>
      </c>
      <c r="D45" s="22" t="s">
        <v>54</v>
      </c>
      <c r="E45" s="20"/>
      <c r="F45" s="20">
        <v>11</v>
      </c>
      <c r="G45" s="20">
        <v>32</v>
      </c>
      <c r="H45" s="20"/>
      <c r="I45" s="163">
        <v>23</v>
      </c>
      <c r="J45" s="155">
        <v>10.1</v>
      </c>
      <c r="K45" s="88">
        <v>11</v>
      </c>
      <c r="L45" s="165">
        <v>1545</v>
      </c>
      <c r="M45" s="165"/>
      <c r="N45" s="163">
        <v>9.68</v>
      </c>
      <c r="O45" s="155">
        <v>8.23</v>
      </c>
      <c r="P45" s="88">
        <v>22</v>
      </c>
      <c r="Q45" s="90"/>
      <c r="R45" s="157">
        <f t="shared" si="8"/>
        <v>-1.4458505809451692</v>
      </c>
      <c r="S45" s="20">
        <v>1</v>
      </c>
      <c r="T45" s="23">
        <f t="shared" si="9"/>
        <v>-1.5006126202727954</v>
      </c>
      <c r="U45" s="23">
        <f t="shared" si="10"/>
        <v>-1.4640123124612638</v>
      </c>
      <c r="V45" s="180">
        <f t="shared" si="11"/>
        <v>-1.5789941617520671</v>
      </c>
      <c r="W45" s="20"/>
      <c r="X45" s="182" t="s">
        <v>27</v>
      </c>
    </row>
    <row r="46" spans="1:50" ht="16.5" customHeight="1" x14ac:dyDescent="0.2">
      <c r="A46" s="182" t="s">
        <v>27</v>
      </c>
      <c r="B46" s="90" t="s">
        <v>73</v>
      </c>
      <c r="C46" s="21">
        <v>1996</v>
      </c>
      <c r="D46" s="22" t="s">
        <v>74</v>
      </c>
      <c r="E46" s="20"/>
      <c r="F46" s="20">
        <v>12</v>
      </c>
      <c r="G46" s="20">
        <v>33</v>
      </c>
      <c r="H46" s="20"/>
      <c r="I46" s="164">
        <v>6</v>
      </c>
      <c r="J46" s="155">
        <v>0</v>
      </c>
      <c r="K46" s="88">
        <v>11</v>
      </c>
      <c r="L46" s="165">
        <v>566</v>
      </c>
      <c r="M46" s="165"/>
      <c r="N46" s="163">
        <v>5.59</v>
      </c>
      <c r="O46" s="155">
        <v>1.33</v>
      </c>
      <c r="P46" s="88">
        <v>22</v>
      </c>
      <c r="Q46" s="90"/>
      <c r="R46" s="157">
        <f t="shared" si="8"/>
        <v>-0.43596057185937531</v>
      </c>
      <c r="S46" s="20">
        <v>-1</v>
      </c>
      <c r="T46" s="23">
        <f t="shared" si="9"/>
        <v>0.37454449245191274</v>
      </c>
      <c r="U46" s="23">
        <f t="shared" si="10"/>
        <v>0.36540926092869536</v>
      </c>
      <c r="V46" s="180">
        <f t="shared" si="11"/>
        <v>0.30075187969924821</v>
      </c>
      <c r="W46" s="20"/>
      <c r="X46" s="182" t="s">
        <v>27</v>
      </c>
    </row>
    <row r="47" spans="1:50" ht="16.5" customHeight="1" x14ac:dyDescent="0.2">
      <c r="A47" s="182" t="s">
        <v>27</v>
      </c>
      <c r="B47" s="90" t="s">
        <v>73</v>
      </c>
      <c r="C47" s="21">
        <v>1996</v>
      </c>
      <c r="D47" s="22" t="s">
        <v>54</v>
      </c>
      <c r="E47" s="20"/>
      <c r="F47" s="20">
        <v>12</v>
      </c>
      <c r="G47" s="20">
        <v>34</v>
      </c>
      <c r="H47" s="20"/>
      <c r="I47" s="164">
        <v>7.6</v>
      </c>
      <c r="J47" s="155">
        <v>4.29</v>
      </c>
      <c r="K47" s="88">
        <v>11</v>
      </c>
      <c r="L47" s="165">
        <v>566</v>
      </c>
      <c r="M47" s="165"/>
      <c r="N47" s="163">
        <v>9.68</v>
      </c>
      <c r="O47" s="155">
        <v>8.23</v>
      </c>
      <c r="P47" s="88">
        <v>22</v>
      </c>
      <c r="Q47" s="90"/>
      <c r="R47" s="157">
        <f t="shared" si="8"/>
        <v>0.31694467663120451</v>
      </c>
      <c r="S47" s="20">
        <v>1</v>
      </c>
      <c r="T47" s="23">
        <f t="shared" si="9"/>
        <v>0.28894356182945941</v>
      </c>
      <c r="U47" s="23">
        <f t="shared" si="10"/>
        <v>0.28189615788239941</v>
      </c>
      <c r="V47" s="180">
        <f t="shared" si="11"/>
        <v>0.24656965889221466</v>
      </c>
      <c r="W47" s="20"/>
      <c r="X47" s="182" t="s">
        <v>27</v>
      </c>
    </row>
    <row r="48" spans="1:50" ht="16.5" customHeight="1" x14ac:dyDescent="0.2">
      <c r="A48" s="182"/>
      <c r="B48" s="90"/>
      <c r="C48" s="21"/>
      <c r="D48" s="22"/>
      <c r="E48" s="20"/>
      <c r="F48" s="20"/>
      <c r="G48" s="20"/>
      <c r="H48" s="20"/>
      <c r="I48" s="164"/>
      <c r="J48" s="155"/>
      <c r="K48" s="88"/>
      <c r="L48" s="165"/>
      <c r="M48" s="165"/>
      <c r="N48" s="163"/>
      <c r="O48" s="155"/>
      <c r="P48" s="88"/>
      <c r="Q48" s="90"/>
      <c r="R48" s="157"/>
      <c r="S48" s="20"/>
      <c r="T48" s="23"/>
      <c r="U48" s="23"/>
      <c r="V48" s="180"/>
      <c r="W48" s="20"/>
      <c r="X48" s="182"/>
    </row>
    <row r="49" spans="1:24" ht="16.5" customHeight="1" x14ac:dyDescent="0.2">
      <c r="A49" s="188" t="s">
        <v>101</v>
      </c>
      <c r="B49" s="90" t="s">
        <v>28</v>
      </c>
      <c r="C49" s="21">
        <v>2004</v>
      </c>
      <c r="D49" s="22" t="s">
        <v>125</v>
      </c>
      <c r="E49" s="20" t="s">
        <v>126</v>
      </c>
      <c r="F49" s="20">
        <v>1</v>
      </c>
      <c r="G49" s="20">
        <v>1</v>
      </c>
      <c r="H49" s="20"/>
      <c r="I49" s="24">
        <v>0.56999999999999995</v>
      </c>
      <c r="J49" s="25">
        <v>0.32</v>
      </c>
      <c r="K49" s="21">
        <v>20</v>
      </c>
      <c r="L49" s="26">
        <v>858.5</v>
      </c>
      <c r="M49" s="26"/>
      <c r="N49" s="24">
        <v>0.75</v>
      </c>
      <c r="O49" s="25">
        <v>0.53</v>
      </c>
      <c r="P49" s="21">
        <v>20</v>
      </c>
      <c r="Q49" s="21"/>
      <c r="R49" s="27">
        <f t="shared" ref="R49:R57" si="12">(N49-I49)/SQRT((O49^2+J49^2)/2)</f>
        <v>0.4111668505267474</v>
      </c>
      <c r="S49" s="20">
        <v>-1</v>
      </c>
      <c r="T49" s="23">
        <f t="shared" ref="T49:T57" si="13">(N49-I49)/SQRT((((P49-1)*O49^2) + ((K49-1)*J49^2))/(P49+K49-2))*S49</f>
        <v>-0.4111668505267474</v>
      </c>
      <c r="U49" s="23">
        <f t="shared" ref="U49:U57" si="14">T49*(1-(3/(4*(K49+P49-2) -1)))</f>
        <v>-0.40299797270171267</v>
      </c>
      <c r="V49" s="180">
        <f t="shared" ref="V49:V57" si="15">((N49-I49)/O49)*S49 * (1-(3/(4*(K49+P49-2)-1)))</f>
        <v>-0.33287517181057114</v>
      </c>
      <c r="W49" s="20" t="s">
        <v>126</v>
      </c>
      <c r="X49" s="188" t="s">
        <v>101</v>
      </c>
    </row>
    <row r="50" spans="1:24" ht="16.5" customHeight="1" x14ac:dyDescent="0.2">
      <c r="A50" s="182" t="s">
        <v>101</v>
      </c>
      <c r="B50" s="90" t="s">
        <v>115</v>
      </c>
      <c r="C50" s="21">
        <v>2005</v>
      </c>
      <c r="D50" s="22" t="s">
        <v>116</v>
      </c>
      <c r="E50" s="20" t="s">
        <v>117</v>
      </c>
      <c r="F50" s="20">
        <v>2</v>
      </c>
      <c r="G50" s="20">
        <v>2</v>
      </c>
      <c r="H50" s="20"/>
      <c r="I50" s="24">
        <v>1.7</v>
      </c>
      <c r="J50" s="49">
        <f>SQRT((1.03/SQRT(25))^2 + (3.41/SQRT(25))^2)</f>
        <v>0.71243245293852253</v>
      </c>
      <c r="K50" s="21">
        <v>25</v>
      </c>
      <c r="L50" s="26">
        <v>758.79</v>
      </c>
      <c r="M50" s="26"/>
      <c r="N50" s="24">
        <v>1.9</v>
      </c>
      <c r="O50" s="49">
        <f>SQRT((1.91/SQRT(25))^2 + (2.861/SQRT(25))^2)</f>
        <v>0.68799479649195028</v>
      </c>
      <c r="P50" s="21">
        <v>25</v>
      </c>
      <c r="Q50" s="21"/>
      <c r="R50" s="27">
        <f t="shared" si="12"/>
        <v>0.28558364068272346</v>
      </c>
      <c r="S50" s="20">
        <v>1</v>
      </c>
      <c r="T50" s="23">
        <f t="shared" si="13"/>
        <v>0.28558364068272346</v>
      </c>
      <c r="U50" s="23">
        <f t="shared" si="14"/>
        <v>0.28109803376100528</v>
      </c>
      <c r="V50" s="180">
        <f t="shared" si="15"/>
        <v>0.28613390645863518</v>
      </c>
      <c r="W50" s="20" t="s">
        <v>117</v>
      </c>
      <c r="X50" s="182" t="s">
        <v>101</v>
      </c>
    </row>
    <row r="51" spans="1:24" ht="16.5" customHeight="1" x14ac:dyDescent="0.2">
      <c r="A51" s="182" t="s">
        <v>101</v>
      </c>
      <c r="B51" s="90" t="s">
        <v>120</v>
      </c>
      <c r="C51" s="21">
        <v>2007</v>
      </c>
      <c r="D51" s="22" t="s">
        <v>121</v>
      </c>
      <c r="E51" s="20" t="s">
        <v>122</v>
      </c>
      <c r="F51" s="20">
        <v>3</v>
      </c>
      <c r="G51" s="20">
        <v>4</v>
      </c>
      <c r="H51" s="20"/>
      <c r="I51" s="24">
        <v>0.95</v>
      </c>
      <c r="J51" s="25">
        <v>0.55000000000000004</v>
      </c>
      <c r="K51" s="21">
        <v>25</v>
      </c>
      <c r="L51" s="26">
        <v>1285.68</v>
      </c>
      <c r="M51" s="26"/>
      <c r="N51" s="24">
        <v>2.06</v>
      </c>
      <c r="O51" s="25">
        <v>0.48</v>
      </c>
      <c r="P51" s="21">
        <v>45</v>
      </c>
      <c r="Q51" s="21"/>
      <c r="R51" s="27">
        <f t="shared" si="12"/>
        <v>2.1503795263481309</v>
      </c>
      <c r="S51" s="90">
        <v>1</v>
      </c>
      <c r="T51" s="23">
        <f t="shared" si="13"/>
        <v>2.194485746614788</v>
      </c>
      <c r="U51" s="23">
        <f t="shared" si="14"/>
        <v>2.1701925464677609</v>
      </c>
      <c r="V51" s="180">
        <f t="shared" si="15"/>
        <v>2.2869003690036904</v>
      </c>
      <c r="W51" s="20" t="s">
        <v>122</v>
      </c>
      <c r="X51" s="182" t="s">
        <v>101</v>
      </c>
    </row>
    <row r="52" spans="1:24" ht="16.5" customHeight="1" x14ac:dyDescent="0.2">
      <c r="A52" s="182" t="s">
        <v>101</v>
      </c>
      <c r="B52" s="90" t="s">
        <v>127</v>
      </c>
      <c r="C52" s="21">
        <v>2018</v>
      </c>
      <c r="D52" s="22" t="s">
        <v>128</v>
      </c>
      <c r="E52" s="20" t="s">
        <v>129</v>
      </c>
      <c r="F52" s="20">
        <v>4</v>
      </c>
      <c r="G52" s="20">
        <v>6</v>
      </c>
      <c r="H52" s="20"/>
      <c r="I52" s="24">
        <v>1.5</v>
      </c>
      <c r="J52" s="25">
        <v>2</v>
      </c>
      <c r="K52" s="21">
        <v>15</v>
      </c>
      <c r="L52" s="26">
        <v>751.2</v>
      </c>
      <c r="M52" s="26"/>
      <c r="N52" s="24">
        <v>1</v>
      </c>
      <c r="O52" s="25">
        <v>1.8</v>
      </c>
      <c r="P52" s="21">
        <v>24</v>
      </c>
      <c r="Q52" s="21"/>
      <c r="R52" s="27">
        <f t="shared" si="12"/>
        <v>-0.26279416561381835</v>
      </c>
      <c r="S52" s="20">
        <v>1</v>
      </c>
      <c r="T52" s="23">
        <f t="shared" si="13"/>
        <v>-0.26621488443561131</v>
      </c>
      <c r="U52" s="23">
        <f t="shared" si="14"/>
        <v>-0.26078192761039476</v>
      </c>
      <c r="V52" s="180">
        <f t="shared" si="15"/>
        <v>-0.27210884353741499</v>
      </c>
      <c r="W52" s="20" t="s">
        <v>129</v>
      </c>
      <c r="X52" s="182" t="s">
        <v>101</v>
      </c>
    </row>
    <row r="53" spans="1:24" ht="16.5" customHeight="1" x14ac:dyDescent="0.2">
      <c r="A53" s="182" t="s">
        <v>101</v>
      </c>
      <c r="B53" s="88" t="s">
        <v>41</v>
      </c>
      <c r="C53" s="21">
        <v>2006</v>
      </c>
      <c r="D53" s="22" t="s">
        <v>144</v>
      </c>
      <c r="E53" s="20" t="s">
        <v>145</v>
      </c>
      <c r="F53" s="21">
        <v>6</v>
      </c>
      <c r="G53" s="20">
        <v>10</v>
      </c>
      <c r="H53" s="20"/>
      <c r="I53" s="24">
        <v>33.299999999999997</v>
      </c>
      <c r="J53" s="25">
        <f>(44-22)/1.35</f>
        <v>16.296296296296294</v>
      </c>
      <c r="K53" s="21">
        <v>9</v>
      </c>
      <c r="L53" s="35" t="s">
        <v>44</v>
      </c>
      <c r="M53" s="35"/>
      <c r="N53" s="24">
        <v>19.2</v>
      </c>
      <c r="O53" s="25">
        <f>(30-16)/1.35</f>
        <v>10.37037037037037</v>
      </c>
      <c r="P53" s="21">
        <v>9</v>
      </c>
      <c r="Q53" s="21"/>
      <c r="R53" s="27">
        <f t="shared" si="12"/>
        <v>-1.0323178161445299</v>
      </c>
      <c r="S53" s="20">
        <v>1</v>
      </c>
      <c r="T53" s="23">
        <f t="shared" si="13"/>
        <v>-1.0323178161445299</v>
      </c>
      <c r="U53" s="23">
        <f t="shared" si="14"/>
        <v>-0.98315982489955223</v>
      </c>
      <c r="V53" s="180">
        <f t="shared" si="15"/>
        <v>-1.2948979591836731</v>
      </c>
      <c r="W53" s="20" t="s">
        <v>145</v>
      </c>
      <c r="X53" s="182" t="s">
        <v>101</v>
      </c>
    </row>
    <row r="54" spans="1:24" ht="16.5" customHeight="1" x14ac:dyDescent="0.2">
      <c r="A54" s="182" t="s">
        <v>101</v>
      </c>
      <c r="B54" s="90" t="s">
        <v>60</v>
      </c>
      <c r="C54" s="21">
        <v>2017</v>
      </c>
      <c r="D54" s="22" t="s">
        <v>102</v>
      </c>
      <c r="E54" s="20" t="s">
        <v>103</v>
      </c>
      <c r="F54" s="20">
        <v>7</v>
      </c>
      <c r="G54" s="20">
        <v>11</v>
      </c>
      <c r="H54" s="20"/>
      <c r="I54" s="24">
        <v>0.5</v>
      </c>
      <c r="J54" s="25">
        <v>1.1000000000000001</v>
      </c>
      <c r="K54" s="21">
        <v>37</v>
      </c>
      <c r="L54" s="26">
        <v>720</v>
      </c>
      <c r="M54" s="26"/>
      <c r="N54" s="24">
        <v>0.8</v>
      </c>
      <c r="O54" s="25">
        <v>1</v>
      </c>
      <c r="P54" s="21">
        <v>30</v>
      </c>
      <c r="Q54" s="21"/>
      <c r="R54" s="27">
        <f t="shared" si="12"/>
        <v>0.2853908964926965</v>
      </c>
      <c r="S54" s="20">
        <v>1</v>
      </c>
      <c r="T54" s="23">
        <f t="shared" si="13"/>
        <v>0.2839417770341558</v>
      </c>
      <c r="U54" s="23">
        <f t="shared" si="14"/>
        <v>0.28065287614186829</v>
      </c>
      <c r="V54" s="180">
        <f t="shared" si="15"/>
        <v>0.29652509652509657</v>
      </c>
      <c r="W54" s="20" t="s">
        <v>103</v>
      </c>
      <c r="X54" s="182" t="s">
        <v>101</v>
      </c>
    </row>
    <row r="55" spans="1:24" ht="16.5" customHeight="1" x14ac:dyDescent="0.2">
      <c r="A55" s="182" t="s">
        <v>101</v>
      </c>
      <c r="B55" s="90" t="s">
        <v>60</v>
      </c>
      <c r="C55" s="21">
        <v>2017</v>
      </c>
      <c r="D55" s="22" t="s">
        <v>134</v>
      </c>
      <c r="E55" s="20" t="s">
        <v>135</v>
      </c>
      <c r="F55" s="20">
        <v>7</v>
      </c>
      <c r="G55" s="20">
        <v>13</v>
      </c>
      <c r="H55" s="20"/>
      <c r="I55" s="24">
        <v>1.3</v>
      </c>
      <c r="J55" s="25">
        <v>2</v>
      </c>
      <c r="K55" s="21">
        <v>37</v>
      </c>
      <c r="L55" s="26">
        <v>720</v>
      </c>
      <c r="M55" s="26"/>
      <c r="N55" s="24">
        <v>1.1000000000000001</v>
      </c>
      <c r="O55" s="25">
        <v>1.6</v>
      </c>
      <c r="P55" s="21">
        <v>30</v>
      </c>
      <c r="Q55" s="21"/>
      <c r="R55" s="27">
        <f t="shared" si="12"/>
        <v>-0.11043152607484651</v>
      </c>
      <c r="S55" s="20">
        <v>1</v>
      </c>
      <c r="T55" s="23">
        <f t="shared" si="13"/>
        <v>-0.10914893373767046</v>
      </c>
      <c r="U55" s="23">
        <f t="shared" si="14"/>
        <v>-0.10788466037391366</v>
      </c>
      <c r="V55" s="180">
        <f t="shared" si="15"/>
        <v>-0.12355212355212353</v>
      </c>
      <c r="W55" s="20" t="s">
        <v>135</v>
      </c>
      <c r="X55" s="182" t="s">
        <v>101</v>
      </c>
    </row>
    <row r="56" spans="1:24" ht="16.5" customHeight="1" x14ac:dyDescent="0.2">
      <c r="A56" s="182" t="s">
        <v>101</v>
      </c>
      <c r="B56" s="88" t="s">
        <v>138</v>
      </c>
      <c r="C56" s="21">
        <v>2020</v>
      </c>
      <c r="D56" s="22" t="s">
        <v>140</v>
      </c>
      <c r="E56" s="20"/>
      <c r="F56" s="21">
        <v>8</v>
      </c>
      <c r="G56" s="20">
        <v>16</v>
      </c>
      <c r="H56" s="20"/>
      <c r="I56" s="24">
        <v>18.100000000000001</v>
      </c>
      <c r="J56" s="25">
        <v>13.4</v>
      </c>
      <c r="K56" s="21">
        <v>16</v>
      </c>
      <c r="L56" s="35">
        <v>926.2</v>
      </c>
      <c r="M56" s="35"/>
      <c r="N56" s="24">
        <v>10.1</v>
      </c>
      <c r="O56" s="25">
        <v>6.5</v>
      </c>
      <c r="P56" s="21">
        <v>17</v>
      </c>
      <c r="Q56" s="21"/>
      <c r="R56" s="27">
        <f t="shared" si="12"/>
        <v>-0.7596515422967951</v>
      </c>
      <c r="S56" s="20">
        <v>1</v>
      </c>
      <c r="T56" s="23">
        <f t="shared" si="13"/>
        <v>-0.76735185645777193</v>
      </c>
      <c r="U56" s="23">
        <f t="shared" si="14"/>
        <v>-0.74863595751977752</v>
      </c>
      <c r="V56" s="180">
        <f t="shared" si="15"/>
        <v>-1.2007504690431523</v>
      </c>
      <c r="W56" s="20"/>
      <c r="X56" s="182" t="s">
        <v>101</v>
      </c>
    </row>
    <row r="57" spans="1:24" ht="16.5" customHeight="1" x14ac:dyDescent="0.2">
      <c r="A57" s="182" t="s">
        <v>101</v>
      </c>
      <c r="B57" s="187" t="s">
        <v>112</v>
      </c>
      <c r="C57" s="21">
        <v>1996</v>
      </c>
      <c r="D57" s="22" t="s">
        <v>113</v>
      </c>
      <c r="E57" s="96" t="s">
        <v>114</v>
      </c>
      <c r="F57" s="21">
        <v>11</v>
      </c>
      <c r="G57" s="20">
        <v>19</v>
      </c>
      <c r="H57" s="20"/>
      <c r="I57" s="24">
        <v>52.3</v>
      </c>
      <c r="J57" s="25">
        <v>8.14</v>
      </c>
      <c r="K57" s="21">
        <v>8</v>
      </c>
      <c r="L57" s="26">
        <v>1253.0999999999999</v>
      </c>
      <c r="M57" s="26"/>
      <c r="N57" s="24">
        <v>54</v>
      </c>
      <c r="O57" s="25">
        <v>6.12</v>
      </c>
      <c r="P57" s="21">
        <v>8</v>
      </c>
      <c r="Q57" s="21"/>
      <c r="R57" s="27">
        <f t="shared" si="12"/>
        <v>0.23607240642412908</v>
      </c>
      <c r="S57" s="20">
        <v>1</v>
      </c>
      <c r="T57" s="23">
        <f t="shared" si="13"/>
        <v>0.23607240642412908</v>
      </c>
      <c r="U57" s="23">
        <f t="shared" si="14"/>
        <v>0.22319572971008567</v>
      </c>
      <c r="V57" s="180">
        <f t="shared" si="15"/>
        <v>0.26262626262626304</v>
      </c>
      <c r="W57" s="96" t="s">
        <v>114</v>
      </c>
      <c r="X57" s="182" t="s">
        <v>101</v>
      </c>
    </row>
    <row r="58" spans="1:24" ht="16.5" customHeight="1" x14ac:dyDescent="0.2">
      <c r="A58" s="182"/>
      <c r="B58" s="187"/>
      <c r="C58" s="21"/>
      <c r="D58" s="22"/>
      <c r="E58" s="96"/>
      <c r="F58" s="21"/>
      <c r="G58" s="20"/>
      <c r="H58" s="20"/>
      <c r="I58" s="24"/>
      <c r="J58" s="25"/>
      <c r="K58" s="21"/>
      <c r="L58" s="26"/>
      <c r="M58" s="26"/>
      <c r="N58" s="24"/>
      <c r="O58" s="25"/>
      <c r="P58" s="21"/>
      <c r="Q58" s="21"/>
      <c r="R58" s="27"/>
      <c r="S58" s="20"/>
      <c r="T58" s="23"/>
      <c r="U58" s="23"/>
      <c r="V58" s="180"/>
      <c r="W58" s="96"/>
      <c r="X58" s="182"/>
    </row>
    <row r="59" spans="1:24" ht="16.5" customHeight="1" x14ac:dyDescent="0.2">
      <c r="A59" s="135" t="s">
        <v>514</v>
      </c>
      <c r="B59" s="90" t="s">
        <v>127</v>
      </c>
      <c r="C59" s="21">
        <v>2018</v>
      </c>
      <c r="D59" s="22" t="s">
        <v>361</v>
      </c>
      <c r="E59" s="20" t="s">
        <v>362</v>
      </c>
      <c r="F59" s="20">
        <v>1</v>
      </c>
      <c r="G59" s="20">
        <v>1</v>
      </c>
      <c r="H59" s="20"/>
      <c r="I59" s="24">
        <v>0.4</v>
      </c>
      <c r="J59" s="25">
        <v>2</v>
      </c>
      <c r="K59" s="21">
        <v>15</v>
      </c>
      <c r="L59" s="26">
        <v>751.2</v>
      </c>
      <c r="M59" s="26"/>
      <c r="N59" s="24">
        <v>0.2</v>
      </c>
      <c r="O59" s="25">
        <v>1.8</v>
      </c>
      <c r="P59" s="21">
        <v>24</v>
      </c>
      <c r="Q59" s="21"/>
      <c r="R59" s="27">
        <f t="shared" ref="R59:R64" si="16">(N59-I59)/SQRT((O59^2+J59^2)/2)</f>
        <v>-0.10511766624552735</v>
      </c>
      <c r="S59" s="20">
        <v>1</v>
      </c>
      <c r="T59" s="23">
        <f t="shared" ref="T59:T64" si="17">(N59-I59)/SQRT((((P59-1)*O59^2) + ((K59-1)*J59^2))/(P59+K59-2))*S59</f>
        <v>-0.10648595377424454</v>
      </c>
      <c r="U59" s="23">
        <f t="shared" ref="U59:U67" si="18">T59*(1-(3/(4*(K59+P59-2) -1)))</f>
        <v>-0.10431277104415791</v>
      </c>
      <c r="V59" s="180">
        <f t="shared" ref="V59:V64" si="19">((N59-I59)/O59)*S59 * (1-(3/(4*(K59+P59-2)-1)))</f>
        <v>-0.108843537414966</v>
      </c>
      <c r="W59" s="20" t="s">
        <v>362</v>
      </c>
      <c r="X59" s="135" t="s">
        <v>514</v>
      </c>
    </row>
    <row r="60" spans="1:24" ht="16.5" customHeight="1" x14ac:dyDescent="0.2">
      <c r="A60" s="135" t="s">
        <v>514</v>
      </c>
      <c r="B60" s="90" t="s">
        <v>127</v>
      </c>
      <c r="C60" s="21">
        <v>2018</v>
      </c>
      <c r="D60" s="22" t="s">
        <v>371</v>
      </c>
      <c r="E60" s="20" t="s">
        <v>372</v>
      </c>
      <c r="F60" s="20">
        <v>1</v>
      </c>
      <c r="G60" s="20">
        <v>2</v>
      </c>
      <c r="H60" s="20"/>
      <c r="I60" s="34">
        <v>2.1</v>
      </c>
      <c r="J60" s="45">
        <v>1.4</v>
      </c>
      <c r="K60" s="20">
        <v>33</v>
      </c>
      <c r="L60" s="26">
        <v>751.2</v>
      </c>
      <c r="M60" s="26"/>
      <c r="N60" s="34">
        <v>1.8</v>
      </c>
      <c r="O60" s="45">
        <v>1.7</v>
      </c>
      <c r="P60" s="20">
        <v>32</v>
      </c>
      <c r="Q60" s="20"/>
      <c r="R60" s="27">
        <f t="shared" si="16"/>
        <v>-0.1926483897203807</v>
      </c>
      <c r="S60" s="20">
        <v>1</v>
      </c>
      <c r="T60" s="23">
        <f t="shared" si="17"/>
        <v>-0.19294224183996631</v>
      </c>
      <c r="U60" s="23">
        <f t="shared" si="18"/>
        <v>-0.19063615926817387</v>
      </c>
      <c r="V60" s="180">
        <f t="shared" si="19"/>
        <v>-0.17436137801734244</v>
      </c>
      <c r="W60" s="20" t="s">
        <v>372</v>
      </c>
      <c r="X60" s="135" t="s">
        <v>514</v>
      </c>
    </row>
    <row r="61" spans="1:24" ht="16.5" customHeight="1" x14ac:dyDescent="0.2">
      <c r="A61" s="135" t="s">
        <v>514</v>
      </c>
      <c r="B61" s="90" t="s">
        <v>60</v>
      </c>
      <c r="C61" s="21">
        <v>2017</v>
      </c>
      <c r="D61" s="22" t="s">
        <v>363</v>
      </c>
      <c r="E61" s="20" t="s">
        <v>364</v>
      </c>
      <c r="F61" s="20">
        <v>1</v>
      </c>
      <c r="G61" s="20">
        <v>3</v>
      </c>
      <c r="H61" s="20"/>
      <c r="I61" s="24">
        <v>8.5</v>
      </c>
      <c r="J61" s="25">
        <v>11</v>
      </c>
      <c r="K61" s="21">
        <v>37</v>
      </c>
      <c r="L61" s="26">
        <v>720</v>
      </c>
      <c r="M61" s="26"/>
      <c r="N61" s="24">
        <v>7.1</v>
      </c>
      <c r="O61" s="25">
        <v>5.0999999999999996</v>
      </c>
      <c r="P61" s="21">
        <v>30</v>
      </c>
      <c r="Q61" s="21"/>
      <c r="R61" s="27">
        <f t="shared" si="16"/>
        <v>-0.16329376207040713</v>
      </c>
      <c r="S61" s="20">
        <v>1</v>
      </c>
      <c r="T61" s="23">
        <f t="shared" si="17"/>
        <v>-0.15789265983573214</v>
      </c>
      <c r="U61" s="23">
        <f t="shared" si="18"/>
        <v>-0.15606378732798235</v>
      </c>
      <c r="V61" s="180">
        <f t="shared" si="19"/>
        <v>-0.27133015368309493</v>
      </c>
      <c r="W61" s="20" t="s">
        <v>364</v>
      </c>
      <c r="X61" s="135" t="s">
        <v>514</v>
      </c>
    </row>
    <row r="62" spans="1:24" ht="16.5" customHeight="1" x14ac:dyDescent="0.2">
      <c r="A62" s="135" t="s">
        <v>514</v>
      </c>
      <c r="B62" s="90" t="s">
        <v>60</v>
      </c>
      <c r="C62" s="21">
        <v>2017</v>
      </c>
      <c r="D62" s="22" t="s">
        <v>365</v>
      </c>
      <c r="E62" s="20" t="s">
        <v>366</v>
      </c>
      <c r="F62" s="20">
        <v>1</v>
      </c>
      <c r="G62" s="20">
        <v>4</v>
      </c>
      <c r="H62" s="20"/>
      <c r="I62" s="24">
        <v>0.1</v>
      </c>
      <c r="J62" s="25">
        <v>0.2</v>
      </c>
      <c r="K62" s="21">
        <v>37</v>
      </c>
      <c r="L62" s="26">
        <v>720</v>
      </c>
      <c r="M62" s="26"/>
      <c r="N62" s="24">
        <v>0.1</v>
      </c>
      <c r="O62" s="25">
        <v>0.2</v>
      </c>
      <c r="P62" s="21">
        <v>30</v>
      </c>
      <c r="Q62" s="21"/>
      <c r="R62" s="27">
        <f t="shared" si="16"/>
        <v>0</v>
      </c>
      <c r="S62" s="20">
        <v>1</v>
      </c>
      <c r="T62" s="23">
        <f t="shared" si="17"/>
        <v>0</v>
      </c>
      <c r="U62" s="23">
        <f t="shared" si="18"/>
        <v>0</v>
      </c>
      <c r="V62" s="180">
        <f t="shared" si="19"/>
        <v>0</v>
      </c>
      <c r="W62" s="20" t="s">
        <v>366</v>
      </c>
      <c r="X62" s="135" t="s">
        <v>514</v>
      </c>
    </row>
    <row r="63" spans="1:24" ht="16.5" customHeight="1" x14ac:dyDescent="0.2">
      <c r="A63" s="135" t="s">
        <v>514</v>
      </c>
      <c r="B63" s="90" t="s">
        <v>60</v>
      </c>
      <c r="C63" s="21">
        <v>2017</v>
      </c>
      <c r="D63" s="22" t="s">
        <v>367</v>
      </c>
      <c r="E63" s="20" t="s">
        <v>368</v>
      </c>
      <c r="F63" s="20">
        <v>1</v>
      </c>
      <c r="G63" s="20">
        <v>5</v>
      </c>
      <c r="H63" s="20"/>
      <c r="I63" s="24">
        <v>0.7</v>
      </c>
      <c r="J63" s="25">
        <v>1</v>
      </c>
      <c r="K63" s="21">
        <v>37</v>
      </c>
      <c r="L63" s="26">
        <v>720</v>
      </c>
      <c r="M63" s="26"/>
      <c r="N63" s="24">
        <v>0.6</v>
      </c>
      <c r="O63" s="25">
        <v>0.8</v>
      </c>
      <c r="P63" s="21">
        <v>30</v>
      </c>
      <c r="Q63" s="21"/>
      <c r="R63" s="27">
        <f t="shared" si="16"/>
        <v>-0.11043152607484651</v>
      </c>
      <c r="S63" s="20">
        <v>1</v>
      </c>
      <c r="T63" s="23">
        <f t="shared" si="17"/>
        <v>-0.10914893373767046</v>
      </c>
      <c r="U63" s="23">
        <f t="shared" si="18"/>
        <v>-0.10788466037391366</v>
      </c>
      <c r="V63" s="180">
        <f t="shared" si="19"/>
        <v>-0.12355212355212353</v>
      </c>
      <c r="W63" s="20" t="s">
        <v>368</v>
      </c>
      <c r="X63" s="135" t="s">
        <v>514</v>
      </c>
    </row>
    <row r="64" spans="1:24" ht="16.5" customHeight="1" x14ac:dyDescent="0.2">
      <c r="A64" s="135" t="s">
        <v>514</v>
      </c>
      <c r="B64" s="90" t="s">
        <v>60</v>
      </c>
      <c r="C64" s="21">
        <v>2017</v>
      </c>
      <c r="D64" s="22" t="s">
        <v>369</v>
      </c>
      <c r="E64" s="20" t="s">
        <v>370</v>
      </c>
      <c r="F64" s="20">
        <v>1</v>
      </c>
      <c r="G64" s="20">
        <v>6</v>
      </c>
      <c r="H64" s="20"/>
      <c r="I64" s="24">
        <v>7.9</v>
      </c>
      <c r="J64" s="25">
        <v>10.8</v>
      </c>
      <c r="K64" s="21">
        <v>37</v>
      </c>
      <c r="L64" s="26">
        <v>720</v>
      </c>
      <c r="M64" s="26"/>
      <c r="N64" s="24">
        <v>5.8</v>
      </c>
      <c r="O64" s="25">
        <v>5.7</v>
      </c>
      <c r="P64" s="21">
        <v>30</v>
      </c>
      <c r="Q64" s="21"/>
      <c r="R64" s="27">
        <f t="shared" si="16"/>
        <v>-0.24319339952292043</v>
      </c>
      <c r="S64" s="20">
        <v>1</v>
      </c>
      <c r="T64" s="23">
        <f t="shared" si="17"/>
        <v>-0.23612480474013478</v>
      </c>
      <c r="U64" s="23">
        <f t="shared" si="18"/>
        <v>-0.23338976839179346</v>
      </c>
      <c r="V64" s="180">
        <f t="shared" si="19"/>
        <v>-0.36415362731152212</v>
      </c>
      <c r="W64" s="20" t="s">
        <v>370</v>
      </c>
      <c r="X64" s="135" t="s">
        <v>514</v>
      </c>
    </row>
    <row r="65" spans="1:24" ht="16.5" customHeight="1" x14ac:dyDescent="0.2">
      <c r="A65" s="135" t="s">
        <v>514</v>
      </c>
      <c r="B65" s="90" t="s">
        <v>509</v>
      </c>
      <c r="C65" s="21">
        <v>2021</v>
      </c>
      <c r="D65" s="22" t="s">
        <v>515</v>
      </c>
      <c r="E65" s="20"/>
      <c r="F65" s="20">
        <v>2</v>
      </c>
      <c r="G65" s="20">
        <v>7</v>
      </c>
      <c r="H65" s="20"/>
      <c r="I65" s="34">
        <v>36</v>
      </c>
      <c r="J65" s="45">
        <v>0</v>
      </c>
      <c r="K65" s="20">
        <v>19</v>
      </c>
      <c r="L65" s="26">
        <v>890</v>
      </c>
      <c r="M65" s="26"/>
      <c r="N65" s="34">
        <v>36</v>
      </c>
      <c r="O65" s="45">
        <v>0</v>
      </c>
      <c r="P65" s="20">
        <v>25</v>
      </c>
      <c r="Q65" s="20"/>
      <c r="R65" s="27">
        <v>0</v>
      </c>
      <c r="S65" s="20">
        <v>-1</v>
      </c>
      <c r="T65" s="97">
        <v>0</v>
      </c>
      <c r="U65" s="97">
        <f t="shared" si="18"/>
        <v>0</v>
      </c>
      <c r="V65" s="192">
        <v>0</v>
      </c>
      <c r="W65" s="20"/>
      <c r="X65" s="135" t="s">
        <v>514</v>
      </c>
    </row>
    <row r="66" spans="1:24" ht="16.5" customHeight="1" x14ac:dyDescent="0.2">
      <c r="A66" s="135" t="s">
        <v>514</v>
      </c>
      <c r="B66" s="90" t="s">
        <v>509</v>
      </c>
      <c r="C66" s="21">
        <v>2021</v>
      </c>
      <c r="D66" s="22" t="s">
        <v>516</v>
      </c>
      <c r="E66" s="20"/>
      <c r="F66" s="20">
        <v>2</v>
      </c>
      <c r="G66" s="20">
        <v>8</v>
      </c>
      <c r="H66" s="20"/>
      <c r="I66" s="34">
        <v>15</v>
      </c>
      <c r="J66" s="45">
        <f>(15-14)/4</f>
        <v>0.25</v>
      </c>
      <c r="K66" s="20">
        <v>19</v>
      </c>
      <c r="L66" s="26">
        <v>890</v>
      </c>
      <c r="M66" s="26"/>
      <c r="N66" s="34">
        <v>15</v>
      </c>
      <c r="O66" s="45">
        <v>0</v>
      </c>
      <c r="P66" s="20">
        <v>25</v>
      </c>
      <c r="Q66" s="20"/>
      <c r="R66" s="27">
        <f>(N66-I66)/SQRT((O66^2+J66^2)/2)</f>
        <v>0</v>
      </c>
      <c r="S66" s="20">
        <v>-1</v>
      </c>
      <c r="T66" s="97">
        <f>(N66-I66)/SQRT((((P66-1)*O66^2) + ((K66-1)*J66^2))/(P66+K66-2))*S66</f>
        <v>0</v>
      </c>
      <c r="U66" s="97">
        <f t="shared" si="18"/>
        <v>0</v>
      </c>
      <c r="V66" s="192">
        <v>0</v>
      </c>
      <c r="W66" s="20"/>
      <c r="X66" s="135" t="s">
        <v>514</v>
      </c>
    </row>
    <row r="67" spans="1:24" ht="16.5" customHeight="1" x14ac:dyDescent="0.2">
      <c r="A67" s="135" t="s">
        <v>514</v>
      </c>
      <c r="B67" s="90" t="s">
        <v>509</v>
      </c>
      <c r="C67" s="21">
        <v>2021</v>
      </c>
      <c r="D67" s="22" t="s">
        <v>517</v>
      </c>
      <c r="E67" s="20"/>
      <c r="F67" s="20">
        <v>2</v>
      </c>
      <c r="G67" s="20">
        <v>9</v>
      </c>
      <c r="H67" s="20"/>
      <c r="I67" s="34">
        <v>33</v>
      </c>
      <c r="J67" s="45">
        <f>(36-30)/1.35</f>
        <v>4.4444444444444438</v>
      </c>
      <c r="K67" s="20">
        <v>19</v>
      </c>
      <c r="L67" s="26">
        <v>890</v>
      </c>
      <c r="M67" s="26"/>
      <c r="N67" s="34">
        <v>35</v>
      </c>
      <c r="O67" s="45">
        <f>(35-33)/1.35</f>
        <v>1.4814814814814814</v>
      </c>
      <c r="P67" s="20">
        <v>25</v>
      </c>
      <c r="Q67" s="20"/>
      <c r="R67" s="27">
        <f>(N67-I67)/SQRT((O67^2+J67^2)/2)</f>
        <v>0.60373835392494324</v>
      </c>
      <c r="S67" s="20">
        <v>-1</v>
      </c>
      <c r="T67" s="97">
        <f>(N67-I67)/SQRT((((P67-1)*O67^2) + ((K67-1)*J67^2))/(P67+K67-2))*S67</f>
        <v>-0.64150780047051359</v>
      </c>
      <c r="U67" s="97">
        <f t="shared" si="18"/>
        <v>-0.62998370824649241</v>
      </c>
      <c r="V67" s="192">
        <f>((N67-I67)/O67)*S67 * (1-(3/(4*(K67+P67-2)-1)))</f>
        <v>-1.3257485029940119</v>
      </c>
      <c r="W67" s="20"/>
      <c r="X67" s="135" t="s">
        <v>514</v>
      </c>
    </row>
    <row r="68" spans="1:24" ht="16.5" customHeight="1" x14ac:dyDescent="0.2">
      <c r="A68" s="135"/>
      <c r="B68" s="90"/>
      <c r="C68" s="21"/>
      <c r="D68" s="22"/>
      <c r="E68" s="20"/>
      <c r="F68" s="20"/>
      <c r="G68" s="20"/>
      <c r="H68" s="20"/>
      <c r="I68" s="34"/>
      <c r="J68" s="45"/>
      <c r="K68" s="20"/>
      <c r="L68" s="26"/>
      <c r="M68" s="26"/>
      <c r="N68" s="34"/>
      <c r="O68" s="45"/>
      <c r="P68" s="20"/>
      <c r="Q68" s="20"/>
      <c r="R68" s="27"/>
      <c r="S68" s="20"/>
      <c r="T68" s="174"/>
      <c r="U68" s="174"/>
      <c r="V68" s="161"/>
      <c r="W68" s="20"/>
      <c r="X68" s="135"/>
    </row>
    <row r="69" spans="1:24" ht="16.5" customHeight="1" x14ac:dyDescent="0.2">
      <c r="A69" s="135"/>
      <c r="B69" s="90"/>
      <c r="C69" s="21"/>
      <c r="D69" s="22"/>
      <c r="E69" s="20"/>
      <c r="F69" s="20"/>
      <c r="G69" s="20"/>
      <c r="H69" s="20"/>
      <c r="I69" s="34"/>
      <c r="J69" s="45"/>
      <c r="K69" s="20"/>
      <c r="L69" s="26"/>
      <c r="M69" s="26"/>
      <c r="N69" s="34"/>
      <c r="O69" s="45"/>
      <c r="P69" s="20"/>
      <c r="Q69" s="20"/>
      <c r="R69" s="27"/>
      <c r="S69" s="20"/>
      <c r="T69" s="174"/>
      <c r="U69" s="174"/>
      <c r="V69" s="161"/>
      <c r="W69" s="20"/>
      <c r="X69" s="135"/>
    </row>
    <row r="70" spans="1:24" ht="16.5" customHeight="1" x14ac:dyDescent="0.2">
      <c r="A70" s="135" t="s">
        <v>373</v>
      </c>
      <c r="B70" s="90" t="s">
        <v>60</v>
      </c>
      <c r="C70" s="21">
        <v>2017</v>
      </c>
      <c r="D70" s="22" t="s">
        <v>374</v>
      </c>
      <c r="E70" s="20" t="s">
        <v>375</v>
      </c>
      <c r="F70" s="20">
        <v>1</v>
      </c>
      <c r="G70" s="20">
        <v>1</v>
      </c>
      <c r="H70" s="20"/>
      <c r="I70" s="24">
        <v>3.9</v>
      </c>
      <c r="J70" s="25">
        <v>4.7</v>
      </c>
      <c r="K70" s="21">
        <v>37</v>
      </c>
      <c r="L70" s="26">
        <v>720</v>
      </c>
      <c r="M70" s="26"/>
      <c r="N70" s="24">
        <v>4.8</v>
      </c>
      <c r="O70" s="25">
        <v>5.7</v>
      </c>
      <c r="P70" s="21">
        <v>30</v>
      </c>
      <c r="Q70" s="21"/>
      <c r="R70" s="27">
        <f>(N70-I70)/SQRT((O70^2+J70^2)/2)</f>
        <v>0.172282331959664</v>
      </c>
      <c r="S70" s="20">
        <v>1</v>
      </c>
      <c r="T70" s="23">
        <f>(N70-I70)/SQRT((((P70-1)*O70^2) + ((K70-1)*J70^2))/(P70+K70-2))*S70</f>
        <v>0.1740776559556978</v>
      </c>
      <c r="U70" s="23">
        <f>T70*(1-(3/(4*(K70+P70-2) -1)))</f>
        <v>0.17206131245041945</v>
      </c>
      <c r="V70" s="180">
        <f>((N70-I70)/O70)*S70 * (1-(3/(4*(K70+P70-2)-1)))</f>
        <v>0.15606584027636658</v>
      </c>
      <c r="W70" s="20" t="s">
        <v>375</v>
      </c>
      <c r="X70" s="135" t="s">
        <v>373</v>
      </c>
    </row>
    <row r="71" spans="1:24" ht="16.5" customHeight="1" x14ac:dyDescent="0.2">
      <c r="A71" s="135" t="s">
        <v>373</v>
      </c>
      <c r="B71" s="90" t="s">
        <v>60</v>
      </c>
      <c r="C71" s="21">
        <v>2017</v>
      </c>
      <c r="D71" s="22" t="s">
        <v>376</v>
      </c>
      <c r="E71" s="20" t="s">
        <v>377</v>
      </c>
      <c r="F71" s="20">
        <v>1</v>
      </c>
      <c r="G71" s="20">
        <v>2</v>
      </c>
      <c r="H71" s="20"/>
      <c r="I71" s="24">
        <v>13.3</v>
      </c>
      <c r="J71" s="25">
        <v>8.1999999999999993</v>
      </c>
      <c r="K71" s="21">
        <v>37</v>
      </c>
      <c r="L71" s="26">
        <v>720</v>
      </c>
      <c r="M71" s="26"/>
      <c r="N71" s="24">
        <v>11.9</v>
      </c>
      <c r="O71" s="25">
        <v>7.6</v>
      </c>
      <c r="P71" s="21">
        <v>30</v>
      </c>
      <c r="Q71" s="21"/>
      <c r="R71" s="27">
        <f>(N71-I71)/SQRT((O71^2+J71^2)/2)</f>
        <v>-0.1770875489694293</v>
      </c>
      <c r="S71" s="20">
        <v>1</v>
      </c>
      <c r="T71" s="23">
        <f>(N71-I71)/SQRT((((P71-1)*O71^2) + ((K71-1)*J71^2))/(P71+K71-2))*S71</f>
        <v>-0.17636877778397697</v>
      </c>
      <c r="U71" s="23">
        <f>T71*(1-(3/(4*(K71+P71-2) -1)))</f>
        <v>-0.17432589618802358</v>
      </c>
      <c r="V71" s="180">
        <f>((N71-I71)/O71)*S71 * (1-(3/(4*(K71+P71-2)-1)))</f>
        <v>-0.18207681365576106</v>
      </c>
      <c r="W71" s="20" t="s">
        <v>377</v>
      </c>
      <c r="X71" s="135" t="s">
        <v>373</v>
      </c>
    </row>
    <row r="73" spans="1:24" ht="16.5" customHeight="1" x14ac:dyDescent="0.2">
      <c r="A73" s="135" t="s">
        <v>173</v>
      </c>
      <c r="B73" s="20" t="s">
        <v>127</v>
      </c>
      <c r="C73" s="21">
        <v>2018</v>
      </c>
      <c r="D73" s="22" t="s">
        <v>176</v>
      </c>
      <c r="E73" s="20" t="s">
        <v>176</v>
      </c>
      <c r="F73" s="20">
        <v>1</v>
      </c>
      <c r="G73" s="20">
        <v>2</v>
      </c>
      <c r="H73" s="20"/>
      <c r="I73" s="34">
        <v>13.2</v>
      </c>
      <c r="J73" s="45">
        <v>2.5</v>
      </c>
      <c r="K73" s="20">
        <v>33</v>
      </c>
      <c r="L73" s="26">
        <v>751.2</v>
      </c>
      <c r="M73" s="26"/>
      <c r="N73" s="34">
        <v>14.2</v>
      </c>
      <c r="O73" s="45">
        <v>3</v>
      </c>
      <c r="P73" s="20">
        <v>32</v>
      </c>
      <c r="Q73" s="20"/>
      <c r="R73" s="27">
        <f t="shared" ref="R73:R83" si="20">(N73-I73)/SQRT((O73^2+J73^2)/2)</f>
        <v>0.36214298417007412</v>
      </c>
      <c r="S73" s="20">
        <v>-1</v>
      </c>
      <c r="T73" s="23">
        <f t="shared" ref="T73:T83" si="21">(N73-I73)/SQRT((((P73-1)*O73^2) + ((K73-1)*J73^2))/(P73+K73-2))*S73</f>
        <v>-0.362662388938708</v>
      </c>
      <c r="U73" s="23">
        <f t="shared" ref="U73:U83" si="22">T73*(1-(3/(4*(K73+P73-2) -1)))</f>
        <v>-0.35832777871234894</v>
      </c>
      <c r="V73" s="180">
        <f t="shared" ref="V73:V83" si="23">((N73-I73)/O73)*S73 * (1-(3/(4*(K73+P73-2)-1)))</f>
        <v>-0.3293492695883134</v>
      </c>
      <c r="W73" s="20" t="s">
        <v>176</v>
      </c>
      <c r="X73" s="135" t="s">
        <v>173</v>
      </c>
    </row>
    <row r="74" spans="1:24" ht="16.5" customHeight="1" x14ac:dyDescent="0.2">
      <c r="A74" s="135" t="s">
        <v>173</v>
      </c>
      <c r="B74" s="20" t="s">
        <v>127</v>
      </c>
      <c r="C74" s="21">
        <v>2018</v>
      </c>
      <c r="D74" s="22" t="s">
        <v>177</v>
      </c>
      <c r="E74" s="20" t="s">
        <v>178</v>
      </c>
      <c r="F74" s="20">
        <v>1</v>
      </c>
      <c r="G74" s="20">
        <v>3</v>
      </c>
      <c r="H74" s="20"/>
      <c r="I74" s="34">
        <v>81.099999999999994</v>
      </c>
      <c r="J74" s="45">
        <v>21.2</v>
      </c>
      <c r="K74" s="20">
        <v>33</v>
      </c>
      <c r="L74" s="26">
        <v>751.2</v>
      </c>
      <c r="M74" s="26"/>
      <c r="N74" s="34">
        <v>86.7</v>
      </c>
      <c r="O74" s="45">
        <v>10.9</v>
      </c>
      <c r="P74" s="20">
        <v>32</v>
      </c>
      <c r="Q74" s="20"/>
      <c r="R74" s="27">
        <f t="shared" si="20"/>
        <v>0.33222575927430026</v>
      </c>
      <c r="S74" s="20">
        <v>-1</v>
      </c>
      <c r="T74" s="23">
        <f t="shared" si="21"/>
        <v>-0.33070216258014767</v>
      </c>
      <c r="U74" s="23">
        <f t="shared" si="22"/>
        <v>-0.3267495470911419</v>
      </c>
      <c r="V74" s="180">
        <f t="shared" si="23"/>
        <v>-0.50762089257648391</v>
      </c>
      <c r="W74" s="20" t="s">
        <v>178</v>
      </c>
      <c r="X74" s="135" t="s">
        <v>173</v>
      </c>
    </row>
    <row r="75" spans="1:24" ht="16.5" customHeight="1" x14ac:dyDescent="0.2">
      <c r="A75" s="135" t="s">
        <v>173</v>
      </c>
      <c r="B75" s="20" t="s">
        <v>127</v>
      </c>
      <c r="C75" s="21">
        <v>2018</v>
      </c>
      <c r="D75" s="22" t="s">
        <v>179</v>
      </c>
      <c r="E75" s="20" t="s">
        <v>180</v>
      </c>
      <c r="F75" s="20">
        <v>1</v>
      </c>
      <c r="G75" s="20">
        <v>4</v>
      </c>
      <c r="H75" s="20"/>
      <c r="I75" s="34">
        <v>87.7</v>
      </c>
      <c r="J75" s="45">
        <v>7.8</v>
      </c>
      <c r="K75" s="20">
        <v>33</v>
      </c>
      <c r="L75" s="26">
        <v>751.2</v>
      </c>
      <c r="M75" s="26"/>
      <c r="N75" s="34">
        <v>91.7</v>
      </c>
      <c r="O75" s="45">
        <v>4.5999999999999996</v>
      </c>
      <c r="P75" s="20">
        <v>32</v>
      </c>
      <c r="Q75" s="20"/>
      <c r="R75" s="27">
        <f t="shared" si="20"/>
        <v>0.62469504755442429</v>
      </c>
      <c r="S75" s="20">
        <v>-1</v>
      </c>
      <c r="T75" s="23">
        <f t="shared" si="21"/>
        <v>-0.62230964195273053</v>
      </c>
      <c r="U75" s="23">
        <f t="shared" si="22"/>
        <v>-0.6148716781046899</v>
      </c>
      <c r="V75" s="180">
        <f t="shared" si="23"/>
        <v>-0.85917200762168722</v>
      </c>
      <c r="W75" s="20" t="s">
        <v>180</v>
      </c>
      <c r="X75" s="135" t="s">
        <v>173</v>
      </c>
    </row>
    <row r="76" spans="1:24" ht="16.5" customHeight="1" x14ac:dyDescent="0.2">
      <c r="A76" s="135" t="s">
        <v>173</v>
      </c>
      <c r="B76" s="20" t="s">
        <v>127</v>
      </c>
      <c r="C76" s="21">
        <v>2018</v>
      </c>
      <c r="D76" s="22" t="s">
        <v>181</v>
      </c>
      <c r="E76" s="20" t="s">
        <v>182</v>
      </c>
      <c r="F76" s="20">
        <v>1</v>
      </c>
      <c r="G76" s="20">
        <v>5</v>
      </c>
      <c r="H76" s="20"/>
      <c r="I76" s="34">
        <v>0.6</v>
      </c>
      <c r="J76" s="45">
        <v>1.1000000000000001</v>
      </c>
      <c r="K76" s="20">
        <v>22</v>
      </c>
      <c r="L76" s="26">
        <v>751.2</v>
      </c>
      <c r="M76" s="26"/>
      <c r="N76" s="34">
        <v>0.3</v>
      </c>
      <c r="O76" s="45">
        <v>0.5</v>
      </c>
      <c r="P76" s="20">
        <v>25</v>
      </c>
      <c r="Q76" s="20"/>
      <c r="R76" s="27">
        <f t="shared" si="20"/>
        <v>-0.35112344158839165</v>
      </c>
      <c r="S76" s="20">
        <v>1</v>
      </c>
      <c r="T76" s="23">
        <f t="shared" si="21"/>
        <v>-0.35908192391184107</v>
      </c>
      <c r="U76" s="23">
        <f t="shared" si="22"/>
        <v>-0.35306379110884933</v>
      </c>
      <c r="V76" s="180">
        <f t="shared" si="23"/>
        <v>-0.58994413407821222</v>
      </c>
      <c r="W76" s="20" t="s">
        <v>182</v>
      </c>
      <c r="X76" s="135" t="s">
        <v>173</v>
      </c>
    </row>
    <row r="77" spans="1:24" ht="16.5" customHeight="1" x14ac:dyDescent="0.2">
      <c r="A77" s="135" t="s">
        <v>173</v>
      </c>
      <c r="B77" s="20" t="s">
        <v>127</v>
      </c>
      <c r="C77" s="21">
        <v>2018</v>
      </c>
      <c r="D77" s="22" t="s">
        <v>183</v>
      </c>
      <c r="E77" s="20" t="s">
        <v>184</v>
      </c>
      <c r="F77" s="20">
        <v>1</v>
      </c>
      <c r="G77" s="20">
        <v>6</v>
      </c>
      <c r="H77" s="20"/>
      <c r="I77" s="34">
        <v>0.2</v>
      </c>
      <c r="J77" s="45">
        <v>0.5</v>
      </c>
      <c r="K77" s="20">
        <v>22</v>
      </c>
      <c r="L77" s="26">
        <v>751.2</v>
      </c>
      <c r="M77" s="26"/>
      <c r="N77" s="34">
        <v>0.4</v>
      </c>
      <c r="O77" s="45">
        <v>0.8</v>
      </c>
      <c r="P77" s="20">
        <v>25</v>
      </c>
      <c r="Q77" s="20"/>
      <c r="R77" s="27">
        <f t="shared" si="20"/>
        <v>0.29981267559834457</v>
      </c>
      <c r="S77" s="20">
        <v>1</v>
      </c>
      <c r="T77" s="23">
        <f t="shared" si="21"/>
        <v>0.29552706228277081</v>
      </c>
      <c r="U77" s="23">
        <f t="shared" si="22"/>
        <v>0.29057409475847856</v>
      </c>
      <c r="V77" s="180">
        <f t="shared" si="23"/>
        <v>0.24581005586592178</v>
      </c>
      <c r="W77" s="20" t="s">
        <v>184</v>
      </c>
      <c r="X77" s="135" t="s">
        <v>173</v>
      </c>
    </row>
    <row r="78" spans="1:24" ht="16.5" customHeight="1" x14ac:dyDescent="0.2">
      <c r="A78" s="135" t="s">
        <v>173</v>
      </c>
      <c r="B78" s="20" t="s">
        <v>127</v>
      </c>
      <c r="C78" s="21">
        <v>2018</v>
      </c>
      <c r="D78" s="22" t="s">
        <v>185</v>
      </c>
      <c r="E78" s="20" t="s">
        <v>186</v>
      </c>
      <c r="F78" s="20">
        <v>1</v>
      </c>
      <c r="G78" s="20">
        <v>7</v>
      </c>
      <c r="H78" s="20"/>
      <c r="I78" s="34">
        <v>1.1000000000000001</v>
      </c>
      <c r="J78" s="45">
        <v>1.2</v>
      </c>
      <c r="K78" s="20">
        <v>22</v>
      </c>
      <c r="L78" s="26">
        <v>751.2</v>
      </c>
      <c r="M78" s="26"/>
      <c r="N78" s="34">
        <v>1.4</v>
      </c>
      <c r="O78" s="45">
        <v>1.9</v>
      </c>
      <c r="P78" s="20">
        <v>25</v>
      </c>
      <c r="Q78" s="20"/>
      <c r="R78" s="27">
        <f t="shared" si="20"/>
        <v>0.18879503265826567</v>
      </c>
      <c r="S78" s="20">
        <v>1</v>
      </c>
      <c r="T78" s="23">
        <f t="shared" si="21"/>
        <v>0.18614758667423173</v>
      </c>
      <c r="U78" s="23">
        <f t="shared" si="22"/>
        <v>0.18302779471879768</v>
      </c>
      <c r="V78" s="180">
        <f t="shared" si="23"/>
        <v>0.15524845633637155</v>
      </c>
      <c r="W78" s="20" t="s">
        <v>186</v>
      </c>
      <c r="X78" s="135" t="s">
        <v>173</v>
      </c>
    </row>
    <row r="79" spans="1:24" ht="16.5" customHeight="1" x14ac:dyDescent="0.2">
      <c r="A79" s="135" t="s">
        <v>173</v>
      </c>
      <c r="B79" s="20" t="s">
        <v>127</v>
      </c>
      <c r="C79" s="21">
        <v>2018</v>
      </c>
      <c r="D79" s="22" t="s">
        <v>187</v>
      </c>
      <c r="E79" s="20" t="s">
        <v>188</v>
      </c>
      <c r="F79" s="20">
        <v>1</v>
      </c>
      <c r="G79" s="20">
        <v>8</v>
      </c>
      <c r="H79" s="20"/>
      <c r="I79" s="34">
        <v>1.1000000000000001</v>
      </c>
      <c r="J79" s="45">
        <v>1.7</v>
      </c>
      <c r="K79" s="20">
        <v>22</v>
      </c>
      <c r="L79" s="26">
        <v>751.2</v>
      </c>
      <c r="M79" s="26"/>
      <c r="N79" s="34">
        <v>2.2999999999999998</v>
      </c>
      <c r="O79" s="45">
        <v>3.1</v>
      </c>
      <c r="P79" s="20">
        <v>25</v>
      </c>
      <c r="Q79" s="20"/>
      <c r="R79" s="27">
        <f t="shared" si="20"/>
        <v>0.47999999999999987</v>
      </c>
      <c r="S79" s="20">
        <v>1</v>
      </c>
      <c r="T79" s="23">
        <f t="shared" si="21"/>
        <v>0.47162291529929184</v>
      </c>
      <c r="U79" s="23">
        <f t="shared" si="22"/>
        <v>0.46371862062947128</v>
      </c>
      <c r="V79" s="180">
        <f t="shared" si="23"/>
        <v>0.38060911876013681</v>
      </c>
      <c r="W79" s="20" t="s">
        <v>188</v>
      </c>
      <c r="X79" s="135" t="s">
        <v>173</v>
      </c>
    </row>
    <row r="80" spans="1:24" ht="16.5" customHeight="1" x14ac:dyDescent="0.2">
      <c r="A80" s="135" t="s">
        <v>173</v>
      </c>
      <c r="B80" s="20" t="s">
        <v>127</v>
      </c>
      <c r="C80" s="21">
        <v>2018</v>
      </c>
      <c r="D80" s="22" t="s">
        <v>191</v>
      </c>
      <c r="E80" s="20" t="s">
        <v>192</v>
      </c>
      <c r="F80" s="20">
        <v>1</v>
      </c>
      <c r="G80" s="20">
        <v>10</v>
      </c>
      <c r="H80" s="20"/>
      <c r="I80" s="34">
        <v>2</v>
      </c>
      <c r="J80" s="45">
        <v>1.3</v>
      </c>
      <c r="K80" s="20">
        <v>22</v>
      </c>
      <c r="L80" s="26">
        <v>751.2</v>
      </c>
      <c r="M80" s="26"/>
      <c r="N80" s="34">
        <v>2.2000000000000002</v>
      </c>
      <c r="O80" s="45">
        <v>1.6</v>
      </c>
      <c r="P80" s="20">
        <v>25</v>
      </c>
      <c r="Q80" s="20"/>
      <c r="R80" s="27">
        <f t="shared" si="20"/>
        <v>0.13719886811400719</v>
      </c>
      <c r="S80" s="20">
        <v>1</v>
      </c>
      <c r="T80" s="23">
        <f t="shared" si="21"/>
        <v>0.13627216199782616</v>
      </c>
      <c r="U80" s="23">
        <f t="shared" si="22"/>
        <v>0.13398827101462235</v>
      </c>
      <c r="V80" s="180">
        <f t="shared" si="23"/>
        <v>0.122905027932961</v>
      </c>
      <c r="W80" s="20" t="s">
        <v>192</v>
      </c>
      <c r="X80" s="135" t="s">
        <v>173</v>
      </c>
    </row>
    <row r="81" spans="1:32" ht="16.5" customHeight="1" x14ac:dyDescent="0.2">
      <c r="A81" s="135" t="s">
        <v>173</v>
      </c>
      <c r="B81" s="20" t="s">
        <v>127</v>
      </c>
      <c r="C81" s="21">
        <v>2018</v>
      </c>
      <c r="D81" s="22" t="s">
        <v>195</v>
      </c>
      <c r="E81" s="20" t="s">
        <v>196</v>
      </c>
      <c r="F81" s="20">
        <v>1</v>
      </c>
      <c r="G81" s="20">
        <v>12</v>
      </c>
      <c r="H81" s="20"/>
      <c r="I81" s="34">
        <v>1.3</v>
      </c>
      <c r="J81" s="45">
        <v>1.2</v>
      </c>
      <c r="K81" s="20">
        <v>22</v>
      </c>
      <c r="L81" s="26">
        <v>751.2</v>
      </c>
      <c r="M81" s="26"/>
      <c r="N81" s="34">
        <v>1.2</v>
      </c>
      <c r="O81" s="45">
        <v>1.2</v>
      </c>
      <c r="P81" s="20">
        <v>25</v>
      </c>
      <c r="Q81" s="20"/>
      <c r="R81" s="27">
        <f t="shared" si="20"/>
        <v>-8.3333333333333412E-2</v>
      </c>
      <c r="S81" s="20">
        <v>1</v>
      </c>
      <c r="T81" s="23">
        <f t="shared" si="21"/>
        <v>-8.3333333333333412E-2</v>
      </c>
      <c r="U81" s="23">
        <f t="shared" si="22"/>
        <v>-8.1936685288640676E-2</v>
      </c>
      <c r="V81" s="180">
        <f t="shared" si="23"/>
        <v>-8.1936685288640676E-2</v>
      </c>
      <c r="W81" s="20" t="s">
        <v>196</v>
      </c>
      <c r="X81" s="135" t="s">
        <v>173</v>
      </c>
    </row>
    <row r="82" spans="1:32" ht="16.5" customHeight="1" x14ac:dyDescent="0.2">
      <c r="A82" s="135" t="s">
        <v>173</v>
      </c>
      <c r="B82" s="20" t="s">
        <v>60</v>
      </c>
      <c r="C82" s="21">
        <v>2017</v>
      </c>
      <c r="D82" s="22" t="s">
        <v>199</v>
      </c>
      <c r="E82" s="20" t="s">
        <v>200</v>
      </c>
      <c r="F82" s="20">
        <v>1</v>
      </c>
      <c r="G82" s="20">
        <v>14</v>
      </c>
      <c r="H82" s="20"/>
      <c r="I82" s="34">
        <v>58.4</v>
      </c>
      <c r="J82" s="45">
        <v>8.6999999999999993</v>
      </c>
      <c r="K82" s="20">
        <v>37</v>
      </c>
      <c r="L82" s="26">
        <v>720</v>
      </c>
      <c r="M82" s="26"/>
      <c r="N82" s="34">
        <v>64.2</v>
      </c>
      <c r="O82" s="45">
        <v>7.2</v>
      </c>
      <c r="P82" s="20">
        <v>30</v>
      </c>
      <c r="Q82" s="20"/>
      <c r="R82" s="27">
        <f t="shared" si="20"/>
        <v>0.72633473153983363</v>
      </c>
      <c r="S82" s="20">
        <v>-1</v>
      </c>
      <c r="T82" s="23">
        <f t="shared" si="21"/>
        <v>-0.71912917922028208</v>
      </c>
      <c r="U82" s="23">
        <f t="shared" si="22"/>
        <v>-0.7107994976076919</v>
      </c>
      <c r="V82" s="180">
        <f t="shared" si="23"/>
        <v>-0.7962247962247968</v>
      </c>
      <c r="W82" s="20" t="s">
        <v>200</v>
      </c>
      <c r="X82" s="135" t="s">
        <v>173</v>
      </c>
    </row>
    <row r="83" spans="1:32" ht="16.5" customHeight="1" x14ac:dyDescent="0.2">
      <c r="A83" s="135" t="s">
        <v>173</v>
      </c>
      <c r="B83" s="20" t="s">
        <v>60</v>
      </c>
      <c r="C83" s="21">
        <v>2017</v>
      </c>
      <c r="D83" s="22" t="s">
        <v>201</v>
      </c>
      <c r="E83" s="20" t="s">
        <v>202</v>
      </c>
      <c r="F83" s="20">
        <v>1</v>
      </c>
      <c r="G83" s="20">
        <v>15</v>
      </c>
      <c r="H83" s="20"/>
      <c r="I83" s="34">
        <v>36</v>
      </c>
      <c r="J83" s="45">
        <v>5.8</v>
      </c>
      <c r="K83" s="20">
        <v>37</v>
      </c>
      <c r="L83" s="26">
        <v>720</v>
      </c>
      <c r="M83" s="26"/>
      <c r="N83" s="34">
        <v>39.200000000000003</v>
      </c>
      <c r="O83" s="45">
        <v>3.6</v>
      </c>
      <c r="P83" s="20">
        <v>30</v>
      </c>
      <c r="Q83" s="20"/>
      <c r="R83" s="27">
        <f t="shared" si="20"/>
        <v>0.66293663237203393</v>
      </c>
      <c r="S83" s="20">
        <v>-1</v>
      </c>
      <c r="T83" s="23">
        <f t="shared" si="21"/>
        <v>-0.64764141552672927</v>
      </c>
      <c r="U83" s="23">
        <f t="shared" si="22"/>
        <v>-0.64013977750904516</v>
      </c>
      <c r="V83" s="180">
        <f t="shared" si="23"/>
        <v>-0.87859287859287938</v>
      </c>
      <c r="W83" s="20" t="s">
        <v>202</v>
      </c>
      <c r="X83" s="135" t="s">
        <v>173</v>
      </c>
    </row>
    <row r="87" spans="1:32" ht="16.5" customHeight="1" x14ac:dyDescent="0.2">
      <c r="A87" s="133" t="s">
        <v>657</v>
      </c>
      <c r="B87" s="133"/>
      <c r="C87" s="133"/>
    </row>
    <row r="89" spans="1:32" ht="16.5" customHeight="1" x14ac:dyDescent="0.2">
      <c r="X89" s="208"/>
      <c r="Y89" s="208"/>
      <c r="Z89" s="208"/>
      <c r="AA89" s="208"/>
      <c r="AB89" s="208"/>
      <c r="AC89" s="208"/>
      <c r="AD89" s="208"/>
      <c r="AE89" s="208"/>
      <c r="AF89" s="208"/>
    </row>
    <row r="90" spans="1:32" ht="16.5" customHeight="1" thickBot="1" x14ac:dyDescent="0.25">
      <c r="A90" s="9" t="s">
        <v>3</v>
      </c>
      <c r="B90" s="9" t="s">
        <v>4</v>
      </c>
      <c r="C90" s="9" t="s">
        <v>5</v>
      </c>
      <c r="D90" s="9"/>
      <c r="E90" s="10" t="s">
        <v>6</v>
      </c>
      <c r="F90" s="193" t="s">
        <v>8</v>
      </c>
      <c r="G90" s="193" t="s">
        <v>9</v>
      </c>
      <c r="H90" s="194"/>
      <c r="I90" s="195" t="s">
        <v>10</v>
      </c>
      <c r="J90" s="196" t="s">
        <v>11</v>
      </c>
      <c r="K90" s="195" t="s">
        <v>12</v>
      </c>
      <c r="L90" s="195" t="s">
        <v>13</v>
      </c>
      <c r="M90" s="194"/>
      <c r="N90" s="195" t="s">
        <v>10</v>
      </c>
      <c r="O90" s="196" t="s">
        <v>11</v>
      </c>
      <c r="P90" s="195" t="s">
        <v>12</v>
      </c>
      <c r="Q90" s="194"/>
      <c r="R90" s="195" t="s">
        <v>14</v>
      </c>
      <c r="S90" s="194"/>
      <c r="T90" s="195" t="s">
        <v>15</v>
      </c>
      <c r="U90" s="195" t="s">
        <v>16</v>
      </c>
      <c r="V90" s="195" t="s">
        <v>17</v>
      </c>
      <c r="W90" s="194"/>
      <c r="X90" s="209"/>
      <c r="Y90" s="210"/>
      <c r="Z90" s="209"/>
      <c r="AA90" s="209"/>
      <c r="AB90" s="209"/>
      <c r="AC90" s="209"/>
      <c r="AD90" s="209"/>
      <c r="AE90" s="209"/>
      <c r="AF90" s="209"/>
    </row>
    <row r="91" spans="1:32" ht="16.5" customHeight="1" x14ac:dyDescent="0.2">
      <c r="A91" s="20"/>
      <c r="B91" s="90"/>
      <c r="C91" s="88"/>
      <c r="D91" s="88"/>
      <c r="E91" s="221"/>
      <c r="F91" s="90"/>
      <c r="G91" s="90"/>
      <c r="H91" s="90"/>
      <c r="I91" s="163"/>
      <c r="J91" s="155"/>
      <c r="K91" s="90"/>
      <c r="L91" s="89"/>
      <c r="M91" s="89"/>
      <c r="N91" s="163"/>
      <c r="O91" s="155"/>
      <c r="P91" s="90"/>
      <c r="Q91" s="90"/>
      <c r="R91" s="157"/>
      <c r="S91" s="90"/>
      <c r="T91" s="197"/>
      <c r="U91" s="197"/>
      <c r="V91" s="197"/>
      <c r="W91" s="21"/>
      <c r="X91" s="211"/>
      <c r="Y91" s="212"/>
      <c r="Z91" s="186"/>
      <c r="AA91" s="186"/>
      <c r="AB91" s="213"/>
      <c r="AC91" s="186"/>
      <c r="AD91" s="214"/>
      <c r="AE91" s="214"/>
      <c r="AF91" s="214"/>
    </row>
    <row r="92" spans="1:32" ht="16.5" customHeight="1" x14ac:dyDescent="0.2">
      <c r="A92" s="20" t="s">
        <v>249</v>
      </c>
      <c r="B92" s="90" t="s">
        <v>28</v>
      </c>
      <c r="C92" s="88">
        <v>2004</v>
      </c>
      <c r="D92" s="88" t="s">
        <v>625</v>
      </c>
      <c r="E92" s="152" t="s">
        <v>252</v>
      </c>
      <c r="F92" s="90">
        <v>1</v>
      </c>
      <c r="G92" s="90">
        <v>1</v>
      </c>
      <c r="H92" s="90"/>
      <c r="I92" s="164">
        <v>58.75</v>
      </c>
      <c r="J92" s="199">
        <v>4.3499999999999996</v>
      </c>
      <c r="K92" s="90">
        <v>20</v>
      </c>
      <c r="L92" s="89">
        <v>858.5</v>
      </c>
      <c r="M92" s="89"/>
      <c r="N92" s="164">
        <v>59.86</v>
      </c>
      <c r="O92" s="199">
        <v>5.0599999999999996</v>
      </c>
      <c r="P92" s="90">
        <v>20</v>
      </c>
      <c r="Q92" s="90"/>
      <c r="R92" s="157">
        <f t="shared" ref="R92:R116" si="24">(N92-I92)/SQRT((O92^2+J92^2)/2)</f>
        <v>0.23525055026796488</v>
      </c>
      <c r="S92" s="90">
        <v>-1</v>
      </c>
      <c r="T92" s="174">
        <f t="shared" ref="T92:T116" si="25">(N92-I92)/SQRT((((P92-1)*O92^2) + ((K92-1)*J92^2))/(P92+K92-2))*S92</f>
        <v>-0.23525055026796488</v>
      </c>
      <c r="U92" s="174">
        <f t="shared" ref="U92:U116" si="26">T92*(1-(3/(4*(K92+P92-2) -1)))</f>
        <v>-0.23057669827588612</v>
      </c>
      <c r="V92" s="174">
        <f t="shared" ref="V92:V116" si="27">((N92-I92)/O92)*S92 * (1-(3/(4*(K92+P92-2)-1)))</f>
        <v>-0.21500929246394251</v>
      </c>
      <c r="W92" s="21" t="s">
        <v>625</v>
      </c>
      <c r="X92" s="161">
        <v>-0.21500929246394251</v>
      </c>
      <c r="Y92" s="199"/>
      <c r="AA92" s="161"/>
      <c r="AB92" s="157"/>
      <c r="AC92" s="90"/>
      <c r="AD92" s="174"/>
      <c r="AE92" s="174"/>
      <c r="AF92" s="174"/>
    </row>
    <row r="93" spans="1:32" ht="16.5" customHeight="1" x14ac:dyDescent="0.2">
      <c r="A93" s="20" t="s">
        <v>249</v>
      </c>
      <c r="B93" s="90" t="s">
        <v>28</v>
      </c>
      <c r="C93" s="88">
        <v>2004</v>
      </c>
      <c r="D93" s="88" t="s">
        <v>625</v>
      </c>
      <c r="E93" s="152" t="s">
        <v>254</v>
      </c>
      <c r="F93" s="90">
        <v>1</v>
      </c>
      <c r="G93" s="90">
        <v>2</v>
      </c>
      <c r="H93" s="90"/>
      <c r="I93" s="164">
        <v>63.33</v>
      </c>
      <c r="J93" s="199">
        <v>19.059999999999999</v>
      </c>
      <c r="K93" s="90">
        <v>20</v>
      </c>
      <c r="L93" s="89">
        <v>858.5</v>
      </c>
      <c r="M93" s="89"/>
      <c r="N93" s="164">
        <v>70.63</v>
      </c>
      <c r="O93" s="199">
        <v>18.579999999999998</v>
      </c>
      <c r="P93" s="90">
        <v>20</v>
      </c>
      <c r="Q93" s="90"/>
      <c r="R93" s="157">
        <f t="shared" si="24"/>
        <v>0.38785369270415399</v>
      </c>
      <c r="S93" s="90">
        <v>-1</v>
      </c>
      <c r="T93" s="174">
        <f t="shared" si="25"/>
        <v>-0.38785369270415399</v>
      </c>
      <c r="U93" s="174">
        <f t="shared" si="26"/>
        <v>-0.38014799020009793</v>
      </c>
      <c r="V93" s="174">
        <f t="shared" si="27"/>
        <v>-0.3850897140698179</v>
      </c>
      <c r="W93" s="21" t="s">
        <v>625</v>
      </c>
      <c r="X93" s="161">
        <v>-0.3850897140698179</v>
      </c>
      <c r="Y93" s="199"/>
      <c r="AA93" s="161"/>
      <c r="AB93" s="157"/>
      <c r="AC93" s="173" t="s">
        <v>637</v>
      </c>
      <c r="AD93" s="174"/>
      <c r="AE93" s="174"/>
      <c r="AF93" s="174"/>
    </row>
    <row r="94" spans="1:32" ht="16.5" customHeight="1" x14ac:dyDescent="0.2">
      <c r="A94" s="20" t="s">
        <v>249</v>
      </c>
      <c r="B94" s="90" t="s">
        <v>41</v>
      </c>
      <c r="C94" s="88">
        <v>2007</v>
      </c>
      <c r="D94" s="88" t="s">
        <v>625</v>
      </c>
      <c r="E94" s="152" t="s">
        <v>256</v>
      </c>
      <c r="F94" s="90">
        <v>2</v>
      </c>
      <c r="G94" s="90">
        <v>3</v>
      </c>
      <c r="H94" s="90"/>
      <c r="I94" s="164">
        <v>95</v>
      </c>
      <c r="J94" s="199">
        <v>13.9</v>
      </c>
      <c r="K94" s="90">
        <v>12</v>
      </c>
      <c r="L94" s="175" t="s">
        <v>44</v>
      </c>
      <c r="M94" s="175"/>
      <c r="N94" s="164">
        <v>97</v>
      </c>
      <c r="O94" s="199">
        <v>2.9</v>
      </c>
      <c r="P94" s="90">
        <v>12</v>
      </c>
      <c r="Q94" s="90"/>
      <c r="R94" s="157">
        <f t="shared" si="24"/>
        <v>0.19919488776864575</v>
      </c>
      <c r="S94" s="90">
        <v>-1</v>
      </c>
      <c r="T94" s="174">
        <f t="shared" si="25"/>
        <v>-0.19919488776864575</v>
      </c>
      <c r="U94" s="174">
        <f t="shared" si="26"/>
        <v>-0.19232609853524418</v>
      </c>
      <c r="V94" s="174">
        <f t="shared" si="27"/>
        <v>-0.66587395957193829</v>
      </c>
      <c r="W94" s="21" t="s">
        <v>625</v>
      </c>
      <c r="X94" s="161">
        <v>-0.66587395957193829</v>
      </c>
      <c r="Y94" s="199"/>
      <c r="AA94" s="161"/>
      <c r="AB94" s="157"/>
      <c r="AC94" s="173" t="s">
        <v>638</v>
      </c>
      <c r="AD94" s="174"/>
      <c r="AE94" s="174"/>
      <c r="AF94" s="174"/>
    </row>
    <row r="95" spans="1:32" ht="16.5" customHeight="1" x14ac:dyDescent="0.2">
      <c r="A95" s="20" t="s">
        <v>249</v>
      </c>
      <c r="B95" s="90" t="s">
        <v>53</v>
      </c>
      <c r="C95" s="88">
        <v>2015</v>
      </c>
      <c r="D95" s="88" t="s">
        <v>625</v>
      </c>
      <c r="E95" s="152" t="s">
        <v>250</v>
      </c>
      <c r="F95" s="90">
        <v>3</v>
      </c>
      <c r="G95" s="90">
        <v>4</v>
      </c>
      <c r="H95" s="90"/>
      <c r="I95" s="164">
        <v>44.64</v>
      </c>
      <c r="J95" s="199">
        <v>37.18</v>
      </c>
      <c r="K95" s="90">
        <v>14</v>
      </c>
      <c r="L95" s="175" t="s">
        <v>44</v>
      </c>
      <c r="M95" s="175"/>
      <c r="N95" s="164">
        <v>57.14</v>
      </c>
      <c r="O95" s="199">
        <v>35.01</v>
      </c>
      <c r="P95" s="90">
        <v>14</v>
      </c>
      <c r="Q95" s="90"/>
      <c r="R95" s="157">
        <f t="shared" si="24"/>
        <v>0.3461520006975074</v>
      </c>
      <c r="S95" s="90">
        <v>-1</v>
      </c>
      <c r="T95" s="174">
        <f t="shared" si="25"/>
        <v>-0.3461520006975074</v>
      </c>
      <c r="U95" s="174">
        <f t="shared" si="26"/>
        <v>-0.33606990358981303</v>
      </c>
      <c r="V95" s="174">
        <f t="shared" si="27"/>
        <v>-0.34664159754633211</v>
      </c>
      <c r="W95" s="21" t="s">
        <v>625</v>
      </c>
      <c r="X95" s="161">
        <v>-0.34664159754633211</v>
      </c>
      <c r="Y95" s="199"/>
      <c r="AA95" s="161"/>
      <c r="AB95" s="157"/>
      <c r="AC95" s="173" t="s">
        <v>639</v>
      </c>
      <c r="AD95" s="174"/>
      <c r="AE95" s="174"/>
      <c r="AF95" s="174"/>
    </row>
    <row r="96" spans="1:32" ht="16.5" customHeight="1" x14ac:dyDescent="0.2">
      <c r="A96" s="20" t="s">
        <v>249</v>
      </c>
      <c r="B96" s="90" t="s">
        <v>60</v>
      </c>
      <c r="C96" s="88">
        <v>2017</v>
      </c>
      <c r="D96" s="88" t="s">
        <v>625</v>
      </c>
      <c r="E96" s="152" t="s">
        <v>258</v>
      </c>
      <c r="F96" s="90">
        <v>4</v>
      </c>
      <c r="G96" s="90">
        <v>5</v>
      </c>
      <c r="H96" s="90"/>
      <c r="I96" s="164">
        <v>14.1</v>
      </c>
      <c r="J96" s="199">
        <v>8.5</v>
      </c>
      <c r="K96" s="90">
        <v>37</v>
      </c>
      <c r="L96" s="89">
        <v>720</v>
      </c>
      <c r="M96" s="89"/>
      <c r="N96" s="164">
        <v>10.5</v>
      </c>
      <c r="O96" s="199">
        <v>8.3000000000000007</v>
      </c>
      <c r="P96" s="90">
        <v>30</v>
      </c>
      <c r="Q96" s="90"/>
      <c r="R96" s="157">
        <f t="shared" si="24"/>
        <v>-0.42854106250850227</v>
      </c>
      <c r="S96" s="90">
        <v>1</v>
      </c>
      <c r="T96" s="174">
        <f t="shared" si="25"/>
        <v>-0.42799278275311803</v>
      </c>
      <c r="U96" s="174">
        <f t="shared" si="26"/>
        <v>-0.42303533739304333</v>
      </c>
      <c r="V96" s="174">
        <f t="shared" si="27"/>
        <v>-0.42871098292785031</v>
      </c>
      <c r="W96" s="21" t="s">
        <v>625</v>
      </c>
      <c r="X96" s="161">
        <v>-0.42871098292785031</v>
      </c>
      <c r="Y96" s="199"/>
      <c r="AA96" s="161"/>
      <c r="AB96" s="157"/>
      <c r="AC96" s="90" t="s">
        <v>640</v>
      </c>
      <c r="AD96" s="174"/>
      <c r="AE96" s="174"/>
      <c r="AF96" s="174"/>
    </row>
    <row r="97" spans="1:32" ht="16.5" customHeight="1" x14ac:dyDescent="0.2">
      <c r="A97" s="20" t="s">
        <v>249</v>
      </c>
      <c r="B97" s="90" t="s">
        <v>60</v>
      </c>
      <c r="C97" s="88">
        <v>2017</v>
      </c>
      <c r="D97" s="88" t="s">
        <v>625</v>
      </c>
      <c r="E97" s="152" t="s">
        <v>260</v>
      </c>
      <c r="F97" s="90">
        <v>4</v>
      </c>
      <c r="G97" s="90">
        <v>6</v>
      </c>
      <c r="H97" s="90"/>
      <c r="I97" s="164">
        <v>3.1</v>
      </c>
      <c r="J97" s="199">
        <v>3.82</v>
      </c>
      <c r="K97" s="90">
        <v>37</v>
      </c>
      <c r="L97" s="89">
        <v>720</v>
      </c>
      <c r="M97" s="89"/>
      <c r="N97" s="164">
        <v>1.9</v>
      </c>
      <c r="O97" s="199">
        <v>1.9</v>
      </c>
      <c r="P97" s="90">
        <v>30</v>
      </c>
      <c r="Q97" s="90"/>
      <c r="R97" s="157">
        <f t="shared" si="24"/>
        <v>-0.39776990075677027</v>
      </c>
      <c r="S97" s="90">
        <v>1</v>
      </c>
      <c r="T97" s="174">
        <f t="shared" si="25"/>
        <v>-0.38544462779809185</v>
      </c>
      <c r="U97" s="174">
        <f t="shared" si="26"/>
        <v>-0.38098001820969696</v>
      </c>
      <c r="V97" s="174">
        <f t="shared" si="27"/>
        <v>-0.62426336110546643</v>
      </c>
      <c r="W97" s="21" t="s">
        <v>625</v>
      </c>
      <c r="X97" s="161">
        <v>-0.62426336110546643</v>
      </c>
      <c r="Y97" s="199"/>
      <c r="AA97" s="161"/>
      <c r="AB97" s="157"/>
      <c r="AC97" s="90"/>
      <c r="AD97" s="174"/>
      <c r="AE97" s="174"/>
      <c r="AF97" s="174"/>
    </row>
    <row r="98" spans="1:32" ht="16.5" customHeight="1" x14ac:dyDescent="0.2">
      <c r="A98" s="20" t="s">
        <v>249</v>
      </c>
      <c r="B98" s="90" t="s">
        <v>509</v>
      </c>
      <c r="C98" s="88">
        <v>2021</v>
      </c>
      <c r="D98" s="88" t="s">
        <v>625</v>
      </c>
      <c r="E98" s="152" t="s">
        <v>262</v>
      </c>
      <c r="F98" s="90">
        <v>5</v>
      </c>
      <c r="G98" s="90">
        <v>7</v>
      </c>
      <c r="H98" s="90"/>
      <c r="I98" s="164">
        <v>21</v>
      </c>
      <c r="J98" s="199">
        <f>(29-15)/1.35</f>
        <v>10.37037037037037</v>
      </c>
      <c r="K98" s="90">
        <v>19</v>
      </c>
      <c r="L98" s="89">
        <v>890</v>
      </c>
      <c r="M98" s="89"/>
      <c r="N98" s="164">
        <v>30</v>
      </c>
      <c r="O98" s="199">
        <f>(32-28)/1.35</f>
        <v>2.9629629629629628</v>
      </c>
      <c r="P98" s="90">
        <v>25</v>
      </c>
      <c r="Q98" s="90"/>
      <c r="R98" s="157">
        <f t="shared" si="24"/>
        <v>1.180112322764076</v>
      </c>
      <c r="S98" s="90">
        <v>-1</v>
      </c>
      <c r="T98" s="174">
        <f t="shared" si="25"/>
        <v>-1.2589297601948628</v>
      </c>
      <c r="U98" s="174">
        <f t="shared" si="26"/>
        <v>-1.2363142555207036</v>
      </c>
      <c r="V98" s="174">
        <f t="shared" si="27"/>
        <v>-2.9829341317365268</v>
      </c>
      <c r="W98" s="21" t="s">
        <v>625</v>
      </c>
      <c r="X98" s="161">
        <v>-2.9829341317365268</v>
      </c>
      <c r="Y98" s="199"/>
      <c r="AA98" s="161"/>
      <c r="AB98" s="157"/>
      <c r="AC98" s="90"/>
      <c r="AD98" s="174"/>
      <c r="AE98" s="174"/>
      <c r="AF98" s="174"/>
    </row>
    <row r="99" spans="1:32" ht="16.5" customHeight="1" x14ac:dyDescent="0.2">
      <c r="A99" s="20" t="s">
        <v>249</v>
      </c>
      <c r="B99" s="90" t="s">
        <v>72</v>
      </c>
      <c r="C99" s="88">
        <v>1994</v>
      </c>
      <c r="D99" s="88" t="s">
        <v>625</v>
      </c>
      <c r="E99" s="152" t="s">
        <v>262</v>
      </c>
      <c r="F99" s="90">
        <v>6</v>
      </c>
      <c r="G99" s="90">
        <v>8</v>
      </c>
      <c r="H99" s="90"/>
      <c r="I99" s="164">
        <v>64</v>
      </c>
      <c r="J99" s="199">
        <v>10</v>
      </c>
      <c r="K99" s="90">
        <v>25</v>
      </c>
      <c r="L99" s="89">
        <v>1945</v>
      </c>
      <c r="M99" s="89"/>
      <c r="N99" s="164">
        <v>69</v>
      </c>
      <c r="O99" s="199">
        <v>2</v>
      </c>
      <c r="P99" s="90">
        <v>15</v>
      </c>
      <c r="Q99" s="90"/>
      <c r="R99" s="157">
        <f t="shared" si="24"/>
        <v>0.69337524528153649</v>
      </c>
      <c r="S99" s="90">
        <v>-1</v>
      </c>
      <c r="T99" s="174">
        <f t="shared" si="25"/>
        <v>-0.6219387571052124</v>
      </c>
      <c r="U99" s="174">
        <f t="shared" si="26"/>
        <v>-0.60958235795742677</v>
      </c>
      <c r="V99" s="174">
        <f t="shared" si="27"/>
        <v>-2.4503311258278146</v>
      </c>
      <c r="W99" s="21" t="s">
        <v>625</v>
      </c>
      <c r="X99" s="161">
        <v>-2.4503311258278146</v>
      </c>
      <c r="Y99" s="199"/>
      <c r="AA99" s="161"/>
      <c r="AB99" s="157"/>
      <c r="AC99" s="90"/>
      <c r="AD99" s="174"/>
      <c r="AE99" s="174"/>
      <c r="AF99" s="174"/>
    </row>
    <row r="100" spans="1:32" ht="16.5" customHeight="1" x14ac:dyDescent="0.2">
      <c r="A100" s="20" t="s">
        <v>249</v>
      </c>
      <c r="B100" s="88" t="s">
        <v>77</v>
      </c>
      <c r="C100" s="88">
        <v>2020</v>
      </c>
      <c r="D100" s="88" t="s">
        <v>625</v>
      </c>
      <c r="E100" s="152" t="s">
        <v>258</v>
      </c>
      <c r="F100" s="88">
        <v>7</v>
      </c>
      <c r="G100" s="90">
        <v>9</v>
      </c>
      <c r="H100" s="90"/>
      <c r="I100" s="163">
        <v>2.2999999999999998</v>
      </c>
      <c r="J100" s="155">
        <v>2.2000000000000002</v>
      </c>
      <c r="K100" s="88">
        <v>19</v>
      </c>
      <c r="L100" s="89">
        <v>1042</v>
      </c>
      <c r="M100" s="89"/>
      <c r="N100" s="163">
        <v>1.2</v>
      </c>
      <c r="O100" s="155">
        <v>1.3</v>
      </c>
      <c r="P100" s="88">
        <v>19</v>
      </c>
      <c r="Q100" s="88"/>
      <c r="R100" s="157">
        <f t="shared" si="24"/>
        <v>-0.60876698620373393</v>
      </c>
      <c r="S100" s="90">
        <v>1</v>
      </c>
      <c r="T100" s="174">
        <f t="shared" si="25"/>
        <v>-0.60876698620373393</v>
      </c>
      <c r="U100" s="174">
        <f t="shared" si="26"/>
        <v>-0.59599565082883044</v>
      </c>
      <c r="V100" s="174">
        <f t="shared" si="27"/>
        <v>-0.82840236686390523</v>
      </c>
      <c r="W100" s="21" t="s">
        <v>626</v>
      </c>
      <c r="X100" s="163"/>
      <c r="Y100" s="189">
        <v>-0.82840236686390523</v>
      </c>
      <c r="Z100" s="189"/>
      <c r="AB100" s="157"/>
      <c r="AC100" s="90"/>
      <c r="AD100" s="174"/>
      <c r="AE100" s="174"/>
      <c r="AF100" s="174"/>
    </row>
    <row r="101" spans="1:32" ht="16.5" customHeight="1" x14ac:dyDescent="0.2">
      <c r="A101" s="20" t="s">
        <v>292</v>
      </c>
      <c r="B101" s="90" t="s">
        <v>159</v>
      </c>
      <c r="C101" s="88">
        <v>2017</v>
      </c>
      <c r="D101" s="88" t="s">
        <v>626</v>
      </c>
      <c r="E101" s="152" t="s">
        <v>293</v>
      </c>
      <c r="F101" s="90">
        <v>1</v>
      </c>
      <c r="G101" s="90">
        <v>1</v>
      </c>
      <c r="H101" s="90"/>
      <c r="I101" s="164">
        <v>605</v>
      </c>
      <c r="J101" s="199">
        <v>146</v>
      </c>
      <c r="K101" s="90">
        <v>57</v>
      </c>
      <c r="L101" s="89">
        <v>655</v>
      </c>
      <c r="M101" s="89"/>
      <c r="N101" s="164">
        <v>549</v>
      </c>
      <c r="O101" s="199">
        <v>80</v>
      </c>
      <c r="P101" s="90">
        <v>57</v>
      </c>
      <c r="Q101" s="90"/>
      <c r="R101" s="157">
        <f t="shared" si="24"/>
        <v>-0.47570503539933895</v>
      </c>
      <c r="S101" s="90">
        <v>1</v>
      </c>
      <c r="T101" s="174">
        <f t="shared" si="25"/>
        <v>-0.47570503539933895</v>
      </c>
      <c r="U101" s="174">
        <f t="shared" si="26"/>
        <v>-0.47251238415504809</v>
      </c>
      <c r="V101" s="174">
        <f t="shared" si="27"/>
        <v>-0.69530201342281872</v>
      </c>
      <c r="W101" s="21" t="s">
        <v>626</v>
      </c>
      <c r="X101" s="164"/>
      <c r="Y101" s="161">
        <v>-0.69530201342281872</v>
      </c>
      <c r="Z101" s="161"/>
      <c r="AB101" s="157"/>
      <c r="AC101" s="90"/>
      <c r="AD101" s="174"/>
      <c r="AE101" s="174"/>
      <c r="AF101" s="174"/>
    </row>
    <row r="102" spans="1:32" ht="16.5" customHeight="1" x14ac:dyDescent="0.2">
      <c r="A102" s="20" t="s">
        <v>292</v>
      </c>
      <c r="B102" s="90" t="s">
        <v>159</v>
      </c>
      <c r="C102" s="88">
        <v>2017</v>
      </c>
      <c r="D102" s="88" t="s">
        <v>626</v>
      </c>
      <c r="E102" s="152" t="s">
        <v>295</v>
      </c>
      <c r="F102" s="90">
        <v>1</v>
      </c>
      <c r="G102" s="90">
        <v>2</v>
      </c>
      <c r="H102" s="90"/>
      <c r="I102" s="164">
        <v>2144</v>
      </c>
      <c r="J102" s="199">
        <v>570</v>
      </c>
      <c r="K102" s="90">
        <v>57</v>
      </c>
      <c r="L102" s="89">
        <v>655</v>
      </c>
      <c r="M102" s="89"/>
      <c r="N102" s="164">
        <v>1875</v>
      </c>
      <c r="O102" s="199">
        <v>418</v>
      </c>
      <c r="P102" s="90">
        <v>57</v>
      </c>
      <c r="Q102" s="90"/>
      <c r="R102" s="157">
        <f t="shared" si="24"/>
        <v>-0.53820240216197568</v>
      </c>
      <c r="S102" s="90">
        <v>1</v>
      </c>
      <c r="T102" s="174">
        <f t="shared" si="25"/>
        <v>-0.53820240216197568</v>
      </c>
      <c r="U102" s="174">
        <f t="shared" si="26"/>
        <v>-0.53459030550317044</v>
      </c>
      <c r="V102" s="174">
        <f t="shared" si="27"/>
        <v>-0.63922160495809377</v>
      </c>
      <c r="W102" s="21" t="s">
        <v>626</v>
      </c>
      <c r="X102" s="164"/>
      <c r="Y102" s="161">
        <v>-0.63922160495809377</v>
      </c>
      <c r="Z102" s="161"/>
      <c r="AB102" s="157"/>
      <c r="AC102" s="90"/>
      <c r="AD102" s="174"/>
      <c r="AE102" s="174"/>
      <c r="AF102" s="174"/>
    </row>
    <row r="103" spans="1:32" ht="16.5" customHeight="1" x14ac:dyDescent="0.2">
      <c r="A103" s="20" t="s">
        <v>292</v>
      </c>
      <c r="B103" s="90" t="s">
        <v>60</v>
      </c>
      <c r="C103" s="88">
        <v>2017</v>
      </c>
      <c r="D103" s="88" t="s">
        <v>626</v>
      </c>
      <c r="E103" s="152" t="s">
        <v>621</v>
      </c>
      <c r="F103" s="90">
        <v>2</v>
      </c>
      <c r="G103" s="90">
        <v>3</v>
      </c>
      <c r="H103" s="90"/>
      <c r="I103" s="164">
        <v>307</v>
      </c>
      <c r="J103" s="199">
        <v>42</v>
      </c>
      <c r="K103" s="90">
        <v>37</v>
      </c>
      <c r="L103" s="89">
        <v>720</v>
      </c>
      <c r="M103" s="89"/>
      <c r="N103" s="164">
        <v>281</v>
      </c>
      <c r="O103" s="199">
        <v>31.3</v>
      </c>
      <c r="P103" s="90">
        <v>30</v>
      </c>
      <c r="Q103" s="90"/>
      <c r="R103" s="157">
        <f t="shared" si="24"/>
        <v>-0.70197367472588612</v>
      </c>
      <c r="S103" s="90">
        <v>1</v>
      </c>
      <c r="T103" s="174">
        <f t="shared" si="25"/>
        <v>-0.69141183141224827</v>
      </c>
      <c r="U103" s="174">
        <f t="shared" si="26"/>
        <v>-0.68340320016036893</v>
      </c>
      <c r="V103" s="174">
        <f t="shared" si="27"/>
        <v>-0.82104925555404795</v>
      </c>
      <c r="W103" s="88" t="s">
        <v>626</v>
      </c>
      <c r="X103" s="164"/>
      <c r="Y103" s="161">
        <v>-0.82104925555404795</v>
      </c>
      <c r="Z103" s="161"/>
      <c r="AB103" s="157"/>
      <c r="AC103" s="90"/>
      <c r="AD103" s="174"/>
      <c r="AE103" s="174"/>
      <c r="AF103" s="174"/>
    </row>
    <row r="104" spans="1:32" ht="16.5" customHeight="1" x14ac:dyDescent="0.2">
      <c r="A104" s="20" t="s">
        <v>292</v>
      </c>
      <c r="B104" s="90" t="s">
        <v>60</v>
      </c>
      <c r="C104" s="88">
        <v>2017</v>
      </c>
      <c r="D104" s="88" t="s">
        <v>626</v>
      </c>
      <c r="E104" s="152" t="s">
        <v>299</v>
      </c>
      <c r="F104" s="90">
        <v>2</v>
      </c>
      <c r="G104" s="90">
        <v>4</v>
      </c>
      <c r="H104" s="90"/>
      <c r="I104" s="164">
        <v>438</v>
      </c>
      <c r="J104" s="199">
        <v>70.599999999999994</v>
      </c>
      <c r="K104" s="90">
        <v>37</v>
      </c>
      <c r="L104" s="89">
        <v>720</v>
      </c>
      <c r="M104" s="89"/>
      <c r="N104" s="164">
        <v>407</v>
      </c>
      <c r="O104" s="199">
        <v>72.2</v>
      </c>
      <c r="P104" s="90">
        <v>30</v>
      </c>
      <c r="Q104" s="90"/>
      <c r="R104" s="157">
        <f t="shared" si="24"/>
        <v>-0.43414641886282429</v>
      </c>
      <c r="S104" s="90">
        <v>1</v>
      </c>
      <c r="T104" s="174">
        <f t="shared" si="25"/>
        <v>-0.43467115985094928</v>
      </c>
      <c r="U104" s="174">
        <f t="shared" si="26"/>
        <v>-0.42963635877159467</v>
      </c>
      <c r="V104" s="174">
        <f t="shared" si="27"/>
        <v>-0.42438956566380392</v>
      </c>
      <c r="W104" s="88" t="s">
        <v>626</v>
      </c>
      <c r="X104" s="164"/>
      <c r="Y104" s="161">
        <v>-0.42438956566380392</v>
      </c>
      <c r="Z104" s="161"/>
      <c r="AB104" s="157"/>
      <c r="AC104" s="90"/>
      <c r="AD104" s="174"/>
      <c r="AE104" s="174"/>
      <c r="AF104" s="174"/>
    </row>
    <row r="105" spans="1:32" ht="16.5" customHeight="1" x14ac:dyDescent="0.2">
      <c r="A105" s="20" t="s">
        <v>292</v>
      </c>
      <c r="B105" s="90" t="s">
        <v>60</v>
      </c>
      <c r="C105" s="88">
        <v>2017</v>
      </c>
      <c r="D105" s="88" t="s">
        <v>626</v>
      </c>
      <c r="E105" s="152" t="s">
        <v>301</v>
      </c>
      <c r="F105" s="90">
        <v>2</v>
      </c>
      <c r="G105" s="90">
        <v>5</v>
      </c>
      <c r="H105" s="90"/>
      <c r="I105" s="164">
        <v>606</v>
      </c>
      <c r="J105" s="199">
        <v>167.6</v>
      </c>
      <c r="K105" s="90">
        <v>37</v>
      </c>
      <c r="L105" s="89">
        <v>720</v>
      </c>
      <c r="M105" s="89"/>
      <c r="N105" s="164">
        <v>498</v>
      </c>
      <c r="O105" s="199">
        <v>71.7</v>
      </c>
      <c r="P105" s="90">
        <v>30</v>
      </c>
      <c r="Q105" s="90"/>
      <c r="R105" s="157">
        <f t="shared" si="24"/>
        <v>-0.83785590572546365</v>
      </c>
      <c r="S105" s="90">
        <v>1</v>
      </c>
      <c r="T105" s="174">
        <f t="shared" si="25"/>
        <v>-0.80833628560573023</v>
      </c>
      <c r="U105" s="174">
        <f t="shared" si="26"/>
        <v>-0.79897331704659047</v>
      </c>
      <c r="V105" s="174">
        <f t="shared" si="27"/>
        <v>-1.4888289365276812</v>
      </c>
      <c r="W105" s="88" t="s">
        <v>626</v>
      </c>
      <c r="X105" s="164"/>
      <c r="Y105" s="161">
        <v>-1.4888289365276812</v>
      </c>
      <c r="Z105" s="161"/>
      <c r="AB105" s="157"/>
      <c r="AC105" s="90"/>
      <c r="AD105" s="174"/>
      <c r="AE105" s="174"/>
      <c r="AF105" s="174"/>
    </row>
    <row r="106" spans="1:32" ht="16.5" customHeight="1" x14ac:dyDescent="0.2">
      <c r="A106" s="20" t="s">
        <v>292</v>
      </c>
      <c r="B106" s="90" t="s">
        <v>60</v>
      </c>
      <c r="C106" s="88">
        <v>2017</v>
      </c>
      <c r="D106" s="88" t="s">
        <v>626</v>
      </c>
      <c r="E106" s="152" t="s">
        <v>302</v>
      </c>
      <c r="F106" s="90">
        <v>2</v>
      </c>
      <c r="G106" s="90">
        <v>6</v>
      </c>
      <c r="H106" s="90"/>
      <c r="I106" s="164">
        <v>1008</v>
      </c>
      <c r="J106" s="199">
        <v>239.7</v>
      </c>
      <c r="K106" s="90">
        <v>37</v>
      </c>
      <c r="L106" s="89">
        <v>720</v>
      </c>
      <c r="M106" s="89"/>
      <c r="N106" s="164">
        <v>841</v>
      </c>
      <c r="O106" s="199">
        <v>126.3</v>
      </c>
      <c r="P106" s="90">
        <v>30</v>
      </c>
      <c r="Q106" s="90"/>
      <c r="R106" s="157">
        <f t="shared" si="24"/>
        <v>-0.87168670832676065</v>
      </c>
      <c r="S106" s="90">
        <v>1</v>
      </c>
      <c r="T106" s="174">
        <f t="shared" si="25"/>
        <v>-0.84630228046477529</v>
      </c>
      <c r="U106" s="174">
        <f t="shared" si="26"/>
        <v>-0.83649955134742271</v>
      </c>
      <c r="V106" s="174">
        <f t="shared" si="27"/>
        <v>-1.306932993393801</v>
      </c>
      <c r="W106" s="88" t="s">
        <v>626</v>
      </c>
      <c r="X106" s="164"/>
      <c r="Y106" s="161">
        <v>-1.306932993393801</v>
      </c>
      <c r="Z106" s="161"/>
      <c r="AB106" s="157"/>
      <c r="AC106" s="90"/>
      <c r="AD106" s="174"/>
      <c r="AE106" s="174"/>
      <c r="AF106" s="174"/>
    </row>
    <row r="107" spans="1:32" ht="16.5" customHeight="1" x14ac:dyDescent="0.2">
      <c r="A107" s="20" t="s">
        <v>292</v>
      </c>
      <c r="B107" s="90" t="s">
        <v>72</v>
      </c>
      <c r="C107" s="88">
        <v>1994</v>
      </c>
      <c r="D107" s="88" t="s">
        <v>626</v>
      </c>
      <c r="E107" s="152" t="s">
        <v>303</v>
      </c>
      <c r="F107" s="90">
        <v>3</v>
      </c>
      <c r="G107" s="90">
        <v>7</v>
      </c>
      <c r="H107" s="90"/>
      <c r="I107" s="164">
        <v>461</v>
      </c>
      <c r="J107" s="199">
        <v>132</v>
      </c>
      <c r="K107" s="90">
        <v>25</v>
      </c>
      <c r="L107" s="89">
        <v>1945</v>
      </c>
      <c r="M107" s="89"/>
      <c r="N107" s="164">
        <v>395</v>
      </c>
      <c r="O107" s="199">
        <v>48</v>
      </c>
      <c r="P107" s="90">
        <v>15</v>
      </c>
      <c r="Q107" s="90"/>
      <c r="R107" s="157">
        <f t="shared" si="24"/>
        <v>-0.66453430266319469</v>
      </c>
      <c r="S107" s="90">
        <v>1</v>
      </c>
      <c r="T107" s="174">
        <f t="shared" si="25"/>
        <v>-0.60620723542054067</v>
      </c>
      <c r="U107" s="174">
        <f t="shared" si="26"/>
        <v>-0.59416338306119221</v>
      </c>
      <c r="V107" s="174">
        <f t="shared" si="27"/>
        <v>-1.3476821192052981</v>
      </c>
      <c r="W107" s="88" t="s">
        <v>626</v>
      </c>
      <c r="X107" s="164"/>
      <c r="Y107" s="161">
        <v>-1.3476821192052981</v>
      </c>
      <c r="Z107" s="161"/>
      <c r="AB107" s="157"/>
      <c r="AC107" s="90"/>
      <c r="AD107" s="174"/>
      <c r="AE107" s="174"/>
      <c r="AF107" s="174"/>
    </row>
    <row r="108" spans="1:32" ht="16.5" customHeight="1" x14ac:dyDescent="0.2">
      <c r="A108" s="20" t="s">
        <v>292</v>
      </c>
      <c r="B108" s="88" t="s">
        <v>77</v>
      </c>
      <c r="C108" s="88">
        <v>2020</v>
      </c>
      <c r="D108" s="88" t="s">
        <v>626</v>
      </c>
      <c r="E108" s="152" t="s">
        <v>299</v>
      </c>
      <c r="F108" s="88">
        <v>4</v>
      </c>
      <c r="G108" s="90">
        <v>8</v>
      </c>
      <c r="H108" s="90"/>
      <c r="I108" s="163">
        <v>483</v>
      </c>
      <c r="J108" s="155">
        <v>104</v>
      </c>
      <c r="K108" s="88">
        <v>19</v>
      </c>
      <c r="L108" s="89">
        <v>1042</v>
      </c>
      <c r="M108" s="89"/>
      <c r="N108" s="163">
        <v>430</v>
      </c>
      <c r="O108" s="155">
        <v>58</v>
      </c>
      <c r="P108" s="88">
        <v>19</v>
      </c>
      <c r="Q108" s="88"/>
      <c r="R108" s="157">
        <f t="shared" si="24"/>
        <v>-0.62943770101896013</v>
      </c>
      <c r="S108" s="90">
        <v>1</v>
      </c>
      <c r="T108" s="174">
        <f t="shared" si="25"/>
        <v>-0.62943770101896013</v>
      </c>
      <c r="U108" s="174">
        <f t="shared" si="26"/>
        <v>-0.6162327142842966</v>
      </c>
      <c r="V108" s="174">
        <f t="shared" si="27"/>
        <v>-0.89462261876054994</v>
      </c>
      <c r="W108" s="88" t="s">
        <v>626</v>
      </c>
      <c r="X108" s="163"/>
      <c r="Y108" s="189">
        <v>-0.89462261876054994</v>
      </c>
      <c r="Z108" s="189"/>
      <c r="AB108" s="157"/>
      <c r="AC108" s="90"/>
      <c r="AD108" s="174"/>
      <c r="AE108" s="174"/>
      <c r="AF108" s="174"/>
    </row>
    <row r="109" spans="1:32" ht="16.5" customHeight="1" x14ac:dyDescent="0.2">
      <c r="A109" s="20" t="s">
        <v>292</v>
      </c>
      <c r="B109" s="88" t="s">
        <v>77</v>
      </c>
      <c r="C109" s="88">
        <v>2020</v>
      </c>
      <c r="D109" s="88" t="s">
        <v>626</v>
      </c>
      <c r="E109" s="152" t="s">
        <v>301</v>
      </c>
      <c r="F109" s="88">
        <v>4</v>
      </c>
      <c r="G109" s="90">
        <v>9</v>
      </c>
      <c r="H109" s="90"/>
      <c r="I109" s="163">
        <v>752</v>
      </c>
      <c r="J109" s="155">
        <v>262</v>
      </c>
      <c r="K109" s="88">
        <v>19</v>
      </c>
      <c r="L109" s="89">
        <v>1042</v>
      </c>
      <c r="M109" s="89"/>
      <c r="N109" s="163">
        <v>586</v>
      </c>
      <c r="O109" s="155">
        <v>113</v>
      </c>
      <c r="P109" s="88">
        <v>19</v>
      </c>
      <c r="Q109" s="88"/>
      <c r="R109" s="157">
        <f t="shared" si="24"/>
        <v>-0.82276575383526052</v>
      </c>
      <c r="S109" s="90">
        <v>1</v>
      </c>
      <c r="T109" s="174">
        <f t="shared" si="25"/>
        <v>-0.82276575383526052</v>
      </c>
      <c r="U109" s="174">
        <f t="shared" si="26"/>
        <v>-0.80550493382473065</v>
      </c>
      <c r="V109" s="174">
        <f t="shared" si="27"/>
        <v>-1.4382078098892259</v>
      </c>
      <c r="W109" s="88" t="s">
        <v>626</v>
      </c>
      <c r="X109" s="163"/>
      <c r="Y109" s="189">
        <v>-1.4382078098892259</v>
      </c>
      <c r="Z109" s="189"/>
      <c r="AB109" s="157"/>
      <c r="AC109" s="90"/>
      <c r="AD109" s="174"/>
      <c r="AE109" s="174"/>
      <c r="AF109" s="174"/>
    </row>
    <row r="110" spans="1:32" ht="16.5" customHeight="1" x14ac:dyDescent="0.2">
      <c r="A110" s="20" t="s">
        <v>292</v>
      </c>
      <c r="B110" s="88" t="s">
        <v>77</v>
      </c>
      <c r="C110" s="88">
        <v>2020</v>
      </c>
      <c r="D110" s="88" t="s">
        <v>626</v>
      </c>
      <c r="E110" s="152" t="s">
        <v>302</v>
      </c>
      <c r="F110" s="88">
        <v>4</v>
      </c>
      <c r="G110" s="90">
        <v>10</v>
      </c>
      <c r="H110" s="90"/>
      <c r="I110" s="163">
        <v>1152</v>
      </c>
      <c r="J110" s="155">
        <v>237</v>
      </c>
      <c r="K110" s="88">
        <v>19</v>
      </c>
      <c r="L110" s="89">
        <v>1042</v>
      </c>
      <c r="M110" s="89"/>
      <c r="N110" s="163">
        <v>938</v>
      </c>
      <c r="O110" s="155">
        <v>203</v>
      </c>
      <c r="P110" s="88">
        <v>19</v>
      </c>
      <c r="Q110" s="88"/>
      <c r="R110" s="157">
        <f t="shared" si="24"/>
        <v>-0.9698361004090521</v>
      </c>
      <c r="S110" s="90">
        <v>1</v>
      </c>
      <c r="T110" s="174">
        <f t="shared" si="25"/>
        <v>-0.9698361004090521</v>
      </c>
      <c r="U110" s="174">
        <f t="shared" si="26"/>
        <v>-0.94948988851235872</v>
      </c>
      <c r="V110" s="174">
        <f t="shared" si="27"/>
        <v>-1.0320713768989631</v>
      </c>
      <c r="W110" s="88" t="s">
        <v>626</v>
      </c>
      <c r="X110" s="163"/>
      <c r="Y110" s="189">
        <v>-1.0320713768989631</v>
      </c>
      <c r="Z110" s="189"/>
      <c r="AB110" s="157"/>
      <c r="AC110" s="90"/>
      <c r="AD110" s="174"/>
      <c r="AE110" s="174"/>
      <c r="AF110" s="174"/>
    </row>
    <row r="111" spans="1:32" ht="16.5" customHeight="1" x14ac:dyDescent="0.2">
      <c r="A111" s="20" t="s">
        <v>658</v>
      </c>
      <c r="B111" s="90" t="s">
        <v>115</v>
      </c>
      <c r="C111" s="88">
        <v>2005</v>
      </c>
      <c r="D111" s="88" t="s">
        <v>626</v>
      </c>
      <c r="E111" s="152" t="s">
        <v>118</v>
      </c>
      <c r="F111" s="90">
        <v>2</v>
      </c>
      <c r="G111" s="90">
        <v>3</v>
      </c>
      <c r="H111" s="90"/>
      <c r="I111" s="220">
        <v>0.02</v>
      </c>
      <c r="J111" s="207">
        <f>SQRT((0.06/SQRT(25))^2 + (0.05/SQRT(25))^2)</f>
        <v>1.5620499351813309E-2</v>
      </c>
      <c r="K111" s="88">
        <v>25</v>
      </c>
      <c r="L111" s="89">
        <v>758.79</v>
      </c>
      <c r="M111" s="89"/>
      <c r="N111" s="157">
        <v>0.03</v>
      </c>
      <c r="O111" s="207">
        <f>SQRT((0.04/SQRT(25))^2 + (0.05/SQRT(25))^2)</f>
        <v>1.2806248474865698E-2</v>
      </c>
      <c r="P111" s="88">
        <v>25</v>
      </c>
      <c r="Q111" s="88"/>
      <c r="R111" s="157">
        <f t="shared" si="24"/>
        <v>0.7001400420140047</v>
      </c>
      <c r="S111" s="90">
        <v>1</v>
      </c>
      <c r="T111" s="174">
        <f t="shared" si="25"/>
        <v>0.70014004201400482</v>
      </c>
      <c r="U111" s="174">
        <f t="shared" si="26"/>
        <v>0.68914307800331365</v>
      </c>
      <c r="V111" s="174">
        <f t="shared" si="27"/>
        <v>0.7686038543208884</v>
      </c>
      <c r="W111" s="88" t="s">
        <v>626</v>
      </c>
      <c r="X111" s="163"/>
      <c r="Y111" s="189">
        <v>0.7686038543208884</v>
      </c>
      <c r="Z111" s="189"/>
      <c r="AB111" s="157"/>
      <c r="AC111" s="90"/>
      <c r="AD111" s="174"/>
      <c r="AE111" s="174"/>
      <c r="AF111" s="174"/>
    </row>
    <row r="112" spans="1:32" ht="16.5" customHeight="1" x14ac:dyDescent="0.2">
      <c r="A112" s="20" t="s">
        <v>658</v>
      </c>
      <c r="B112" s="90" t="s">
        <v>120</v>
      </c>
      <c r="C112" s="88">
        <v>2007</v>
      </c>
      <c r="D112" s="88" t="s">
        <v>626</v>
      </c>
      <c r="E112" s="152" t="s">
        <v>123</v>
      </c>
      <c r="F112" s="90">
        <v>3</v>
      </c>
      <c r="G112" s="90">
        <v>5</v>
      </c>
      <c r="H112" s="90"/>
      <c r="I112" s="220">
        <v>0.03</v>
      </c>
      <c r="J112" s="207">
        <v>0.02</v>
      </c>
      <c r="K112" s="88">
        <v>25</v>
      </c>
      <c r="L112" s="89">
        <v>1286.68</v>
      </c>
      <c r="M112" s="89"/>
      <c r="N112" s="157">
        <v>0.03</v>
      </c>
      <c r="O112" s="207">
        <v>0.01</v>
      </c>
      <c r="P112" s="88">
        <v>45</v>
      </c>
      <c r="Q112" s="88"/>
      <c r="R112" s="157">
        <f t="shared" si="24"/>
        <v>0</v>
      </c>
      <c r="S112" s="90">
        <v>1</v>
      </c>
      <c r="T112" s="174">
        <f t="shared" si="25"/>
        <v>0</v>
      </c>
      <c r="U112" s="174">
        <f t="shared" si="26"/>
        <v>0</v>
      </c>
      <c r="V112" s="174">
        <f t="shared" si="27"/>
        <v>0</v>
      </c>
      <c r="W112" s="88" t="s">
        <v>626</v>
      </c>
      <c r="X112" s="163"/>
      <c r="Y112" s="189">
        <v>-2.9667896678966792</v>
      </c>
      <c r="Z112" s="189"/>
      <c r="AB112" s="157"/>
      <c r="AC112" s="90"/>
      <c r="AD112" s="174"/>
      <c r="AE112" s="174"/>
      <c r="AF112" s="174"/>
    </row>
    <row r="113" spans="1:32" ht="16.5" customHeight="1" x14ac:dyDescent="0.2">
      <c r="A113" s="20" t="s">
        <v>658</v>
      </c>
      <c r="B113" s="88" t="s">
        <v>138</v>
      </c>
      <c r="C113" s="88">
        <v>2020</v>
      </c>
      <c r="D113" s="88" t="s">
        <v>626</v>
      </c>
      <c r="E113" s="152" t="s">
        <v>139</v>
      </c>
      <c r="F113" s="88">
        <v>8</v>
      </c>
      <c r="G113" s="90">
        <v>15</v>
      </c>
      <c r="H113" s="90"/>
      <c r="I113" s="163">
        <v>471.1</v>
      </c>
      <c r="J113" s="155">
        <f>(598.4-418.5)/4</f>
        <v>44.974999999999994</v>
      </c>
      <c r="K113" s="88">
        <v>16</v>
      </c>
      <c r="L113" s="165">
        <v>926.2</v>
      </c>
      <c r="M113" s="165"/>
      <c r="N113" s="163">
        <v>448.58</v>
      </c>
      <c r="O113" s="155">
        <f>(690.9-400.26)/4</f>
        <v>72.66</v>
      </c>
      <c r="P113" s="88">
        <v>17</v>
      </c>
      <c r="Q113" s="88"/>
      <c r="R113" s="157">
        <f t="shared" si="24"/>
        <v>-0.37269686730625295</v>
      </c>
      <c r="S113" s="90">
        <v>1</v>
      </c>
      <c r="T113" s="174">
        <f t="shared" si="25"/>
        <v>-0.37004449555368679</v>
      </c>
      <c r="U113" s="174">
        <f t="shared" si="26"/>
        <v>-0.36101902005237735</v>
      </c>
      <c r="V113" s="174">
        <f t="shared" si="27"/>
        <v>-0.30237725994105574</v>
      </c>
      <c r="W113" s="88" t="s">
        <v>626</v>
      </c>
      <c r="X113" s="163"/>
      <c r="Y113" s="189">
        <v>-0.30237725994105574</v>
      </c>
      <c r="Z113" s="189"/>
      <c r="AB113" s="157"/>
      <c r="AC113" s="90"/>
      <c r="AD113" s="174"/>
      <c r="AE113" s="174"/>
      <c r="AF113" s="174"/>
    </row>
    <row r="114" spans="1:32" ht="16.5" customHeight="1" x14ac:dyDescent="0.2">
      <c r="A114" s="20" t="s">
        <v>214</v>
      </c>
      <c r="B114" s="90" t="s">
        <v>159</v>
      </c>
      <c r="C114" s="88">
        <v>2017</v>
      </c>
      <c r="D114" s="88" t="s">
        <v>626</v>
      </c>
      <c r="E114" s="152" t="s">
        <v>221</v>
      </c>
      <c r="F114" s="90">
        <v>2</v>
      </c>
      <c r="G114" s="90">
        <v>3</v>
      </c>
      <c r="H114" s="90"/>
      <c r="I114" s="164">
        <v>1705</v>
      </c>
      <c r="J114" s="199">
        <v>457</v>
      </c>
      <c r="K114" s="90">
        <v>57</v>
      </c>
      <c r="L114" s="89">
        <v>655</v>
      </c>
      <c r="M114" s="89"/>
      <c r="N114" s="164">
        <v>1539</v>
      </c>
      <c r="O114" s="199">
        <v>318</v>
      </c>
      <c r="P114" s="90">
        <v>57</v>
      </c>
      <c r="Q114" s="90"/>
      <c r="R114" s="157">
        <f t="shared" si="24"/>
        <v>-0.42165878460045436</v>
      </c>
      <c r="S114" s="90">
        <v>1</v>
      </c>
      <c r="T114" s="174">
        <f t="shared" si="25"/>
        <v>-0.42165878460045436</v>
      </c>
      <c r="U114" s="174">
        <f t="shared" si="26"/>
        <v>-0.41882885987159224</v>
      </c>
      <c r="V114" s="174">
        <f t="shared" si="27"/>
        <v>-0.51850913849141023</v>
      </c>
      <c r="W114" s="88" t="s">
        <v>626</v>
      </c>
      <c r="X114" s="164"/>
      <c r="Y114" s="161">
        <v>-0.51850913849141023</v>
      </c>
      <c r="Z114" s="161"/>
      <c r="AB114" s="157"/>
      <c r="AC114" s="90"/>
      <c r="AD114" s="174"/>
      <c r="AE114" s="174"/>
      <c r="AF114" s="174"/>
    </row>
    <row r="115" spans="1:32" ht="16.5" customHeight="1" x14ac:dyDescent="0.2">
      <c r="A115" s="20" t="s">
        <v>659</v>
      </c>
      <c r="B115" s="90" t="s">
        <v>154</v>
      </c>
      <c r="C115" s="88">
        <v>1994</v>
      </c>
      <c r="D115" s="88" t="s">
        <v>626</v>
      </c>
      <c r="E115" s="152" t="s">
        <v>157</v>
      </c>
      <c r="F115" s="90">
        <v>7</v>
      </c>
      <c r="G115" s="90">
        <v>10</v>
      </c>
      <c r="H115" s="90"/>
      <c r="I115" s="163">
        <v>1010</v>
      </c>
      <c r="J115" s="155">
        <v>1318</v>
      </c>
      <c r="K115" s="88">
        <v>19</v>
      </c>
      <c r="L115" s="89">
        <v>2070</v>
      </c>
      <c r="M115" s="89"/>
      <c r="N115" s="163">
        <v>729</v>
      </c>
      <c r="O115" s="155">
        <v>691</v>
      </c>
      <c r="P115" s="88">
        <v>20</v>
      </c>
      <c r="Q115" s="88"/>
      <c r="R115" s="157">
        <f t="shared" si="24"/>
        <v>-0.26703806949163555</v>
      </c>
      <c r="S115" s="90">
        <v>1</v>
      </c>
      <c r="T115" s="174">
        <f t="shared" si="25"/>
        <v>-0.2691145864946321</v>
      </c>
      <c r="U115" s="174">
        <f t="shared" si="26"/>
        <v>-0.2636224520763743</v>
      </c>
      <c r="V115" s="174">
        <f t="shared" si="27"/>
        <v>-0.39835789598038929</v>
      </c>
      <c r="W115" s="88" t="s">
        <v>626</v>
      </c>
      <c r="X115" s="163"/>
      <c r="Y115" s="189">
        <v>-0.39835789598038929</v>
      </c>
      <c r="Z115" s="189"/>
      <c r="AB115" s="157"/>
      <c r="AC115" s="90"/>
      <c r="AD115" s="174"/>
      <c r="AE115" s="174"/>
      <c r="AF115" s="174"/>
    </row>
    <row r="116" spans="1:32" ht="16.5" customHeight="1" x14ac:dyDescent="0.2">
      <c r="A116" s="20" t="s">
        <v>659</v>
      </c>
      <c r="B116" s="187" t="s">
        <v>112</v>
      </c>
      <c r="C116" s="88">
        <v>1996</v>
      </c>
      <c r="D116" s="88" t="s">
        <v>626</v>
      </c>
      <c r="E116" s="152" t="s">
        <v>157</v>
      </c>
      <c r="F116" s="88">
        <v>8</v>
      </c>
      <c r="G116" s="90">
        <v>11</v>
      </c>
      <c r="H116" s="90"/>
      <c r="I116" s="163">
        <v>12.3</v>
      </c>
      <c r="J116" s="155">
        <v>4.53</v>
      </c>
      <c r="K116" s="88">
        <v>8</v>
      </c>
      <c r="L116" s="89">
        <v>1253.0999999999999</v>
      </c>
      <c r="M116" s="89"/>
      <c r="N116" s="163">
        <v>8.6999999999999993</v>
      </c>
      <c r="O116" s="155">
        <v>1.18</v>
      </c>
      <c r="P116" s="88">
        <v>8</v>
      </c>
      <c r="Q116" s="88"/>
      <c r="R116" s="157">
        <f t="shared" si="24"/>
        <v>-1.0875859947978659</v>
      </c>
      <c r="S116" s="90">
        <v>1</v>
      </c>
      <c r="T116" s="174">
        <f t="shared" si="25"/>
        <v>-1.0875859947978659</v>
      </c>
      <c r="U116" s="174">
        <f t="shared" si="26"/>
        <v>-1.0282631223543459</v>
      </c>
      <c r="V116" s="174">
        <f t="shared" si="27"/>
        <v>-2.8844375963020044</v>
      </c>
      <c r="W116" s="21" t="s">
        <v>626</v>
      </c>
      <c r="X116" s="163"/>
      <c r="Y116" s="157">
        <v>-2.8844375963020044</v>
      </c>
      <c r="Z116" s="157"/>
      <c r="AB116" s="157"/>
      <c r="AC116" s="90"/>
      <c r="AD116" s="174"/>
      <c r="AE116" s="174"/>
      <c r="AF116" s="174"/>
    </row>
    <row r="117" spans="1:32" ht="16.5" customHeight="1" x14ac:dyDescent="0.2">
      <c r="A117" s="20"/>
      <c r="B117" s="187"/>
      <c r="C117" s="88"/>
      <c r="D117" s="88"/>
      <c r="E117" s="152"/>
      <c r="F117" s="88"/>
      <c r="G117" s="90"/>
      <c r="H117" s="90"/>
      <c r="I117" s="163"/>
      <c r="J117" s="155"/>
      <c r="K117" s="88"/>
      <c r="L117" s="89"/>
      <c r="M117" s="89"/>
      <c r="N117" s="163"/>
      <c r="O117" s="155"/>
      <c r="P117" s="88"/>
      <c r="Q117" s="88"/>
      <c r="R117" s="157"/>
      <c r="S117" s="90"/>
      <c r="T117" s="174"/>
      <c r="U117" s="174"/>
      <c r="V117" s="174"/>
      <c r="W117" s="21"/>
      <c r="X117" s="163"/>
      <c r="Y117" s="155"/>
      <c r="Z117" s="157"/>
      <c r="AA117" s="157"/>
      <c r="AB117" s="157"/>
      <c r="AC117" s="90"/>
      <c r="AD117" s="174"/>
      <c r="AE117" s="174"/>
      <c r="AF117" s="174"/>
    </row>
    <row r="118" spans="1:32" ht="16.5" customHeight="1" x14ac:dyDescent="0.2">
      <c r="A118" s="20" t="s">
        <v>228</v>
      </c>
      <c r="B118" s="88" t="s">
        <v>546</v>
      </c>
      <c r="C118" s="88">
        <v>2021</v>
      </c>
      <c r="D118" s="88" t="s">
        <v>624</v>
      </c>
      <c r="E118" s="222" t="s">
        <v>551</v>
      </c>
      <c r="F118" s="88">
        <v>1</v>
      </c>
      <c r="G118" s="90">
        <v>1</v>
      </c>
      <c r="H118" s="90"/>
      <c r="I118" s="198" t="s">
        <v>75</v>
      </c>
      <c r="J118" s="198" t="s">
        <v>75</v>
      </c>
      <c r="K118" s="88">
        <v>152</v>
      </c>
      <c r="L118" s="89">
        <v>908</v>
      </c>
      <c r="M118" s="89"/>
      <c r="N118" s="198" t="s">
        <v>75</v>
      </c>
      <c r="O118" s="198" t="s">
        <v>75</v>
      </c>
      <c r="P118" s="88">
        <v>76</v>
      </c>
      <c r="Q118" s="88"/>
      <c r="R118" s="198" t="s">
        <v>75</v>
      </c>
      <c r="S118" s="198" t="s">
        <v>75</v>
      </c>
      <c r="T118" s="198" t="s">
        <v>75</v>
      </c>
      <c r="U118" s="198" t="s">
        <v>75</v>
      </c>
      <c r="V118" s="174">
        <v>-0.02</v>
      </c>
      <c r="W118" s="21" t="s">
        <v>624</v>
      </c>
      <c r="Y118" s="198"/>
      <c r="Z118" s="215">
        <v>-0.02</v>
      </c>
      <c r="AA118" s="88"/>
      <c r="AB118" s="198"/>
      <c r="AC118" s="198"/>
      <c r="AD118" s="198"/>
      <c r="AE118" s="198"/>
      <c r="AF118" s="174"/>
    </row>
    <row r="119" spans="1:32" ht="16.5" customHeight="1" x14ac:dyDescent="0.2">
      <c r="A119" s="20" t="s">
        <v>228</v>
      </c>
      <c r="B119" s="90" t="s">
        <v>28</v>
      </c>
      <c r="C119" s="88">
        <v>2004</v>
      </c>
      <c r="D119" s="88" t="s">
        <v>624</v>
      </c>
      <c r="E119" s="152" t="s">
        <v>656</v>
      </c>
      <c r="F119" s="90">
        <v>2</v>
      </c>
      <c r="G119" s="90">
        <v>2</v>
      </c>
      <c r="H119" s="90"/>
      <c r="I119" s="164">
        <v>75.760000000000005</v>
      </c>
      <c r="J119" s="199">
        <v>19.5</v>
      </c>
      <c r="K119" s="90">
        <v>20</v>
      </c>
      <c r="L119" s="89">
        <v>858.5</v>
      </c>
      <c r="M119" s="89"/>
      <c r="N119" s="164">
        <v>80.67</v>
      </c>
      <c r="O119" s="199">
        <v>19.21</v>
      </c>
      <c r="P119" s="90">
        <v>20</v>
      </c>
      <c r="Q119" s="90"/>
      <c r="R119" s="157">
        <f t="shared" ref="R119:R138" si="28">(N119-I119)/SQRT((O119^2+J119^2)/2)</f>
        <v>0.25367410080343311</v>
      </c>
      <c r="S119" s="90">
        <v>-1</v>
      </c>
      <c r="T119" s="174">
        <f t="shared" ref="T119:T138" si="29">(N119-I119)/SQRT((((P119-1)*O119^2) + ((K119-1)*J119^2))/(P119+K119-2))*S119</f>
        <v>-0.25367410080343311</v>
      </c>
      <c r="U119" s="174">
        <f t="shared" ref="U119:U138" si="30">T119*(1-(3/(4*(K119+P119-2) -1)))</f>
        <v>-0.2486342180060139</v>
      </c>
      <c r="V119" s="174">
        <f t="shared" ref="V119:V138" si="31">((N119-I119)/O119)*S119 * (1-(3/(4*(K119+P119-2)-1)))</f>
        <v>-0.25051797663330683</v>
      </c>
      <c r="W119" s="21" t="s">
        <v>624</v>
      </c>
      <c r="Y119" s="199"/>
      <c r="Z119" s="161">
        <v>-0.25051797663330683</v>
      </c>
      <c r="AA119" s="90"/>
      <c r="AB119" s="157"/>
      <c r="AC119" s="90"/>
      <c r="AD119" s="174"/>
      <c r="AE119" s="174"/>
      <c r="AF119" s="174"/>
    </row>
    <row r="120" spans="1:32" ht="16.5" customHeight="1" x14ac:dyDescent="0.2">
      <c r="A120" s="20" t="s">
        <v>228</v>
      </c>
      <c r="B120" s="90" t="s">
        <v>28</v>
      </c>
      <c r="C120" s="88">
        <v>2004</v>
      </c>
      <c r="D120" s="88" t="s">
        <v>624</v>
      </c>
      <c r="E120" s="152" t="s">
        <v>623</v>
      </c>
      <c r="F120" s="90">
        <v>2</v>
      </c>
      <c r="G120" s="90">
        <v>3</v>
      </c>
      <c r="H120" s="90"/>
      <c r="I120" s="164">
        <v>69</v>
      </c>
      <c r="J120" s="199">
        <v>14.63</v>
      </c>
      <c r="K120" s="90">
        <v>20</v>
      </c>
      <c r="L120" s="89">
        <v>858.5</v>
      </c>
      <c r="M120" s="89"/>
      <c r="N120" s="164">
        <v>66.5</v>
      </c>
      <c r="O120" s="199">
        <v>13.4</v>
      </c>
      <c r="P120" s="90">
        <v>20</v>
      </c>
      <c r="Q120" s="90"/>
      <c r="R120" s="157">
        <f t="shared" si="28"/>
        <v>-0.17820881069919003</v>
      </c>
      <c r="S120" s="90">
        <v>-1</v>
      </c>
      <c r="T120" s="174">
        <f t="shared" si="29"/>
        <v>0.17820881069919003</v>
      </c>
      <c r="U120" s="174">
        <f t="shared" si="30"/>
        <v>0.17466823830119288</v>
      </c>
      <c r="V120" s="174">
        <f t="shared" si="31"/>
        <v>0.18286053177819511</v>
      </c>
      <c r="W120" s="21" t="s">
        <v>624</v>
      </c>
      <c r="Y120" s="199"/>
      <c r="Z120" s="161">
        <v>0.18286053177819511</v>
      </c>
      <c r="AA120" s="90"/>
      <c r="AB120" s="157"/>
      <c r="AC120" s="90"/>
      <c r="AD120" s="174"/>
      <c r="AE120" s="174"/>
      <c r="AF120" s="174"/>
    </row>
    <row r="121" spans="1:32" ht="16.5" customHeight="1" x14ac:dyDescent="0.2">
      <c r="A121" s="20" t="s">
        <v>228</v>
      </c>
      <c r="B121" s="90" t="s">
        <v>41</v>
      </c>
      <c r="C121" s="88">
        <v>2007</v>
      </c>
      <c r="D121" s="88" t="s">
        <v>624</v>
      </c>
      <c r="E121" s="152" t="s">
        <v>232</v>
      </c>
      <c r="F121" s="90">
        <v>3</v>
      </c>
      <c r="G121" s="90">
        <v>4</v>
      </c>
      <c r="H121" s="90"/>
      <c r="I121" s="164">
        <v>108</v>
      </c>
      <c r="J121" s="199">
        <v>14.2</v>
      </c>
      <c r="K121" s="90">
        <v>12</v>
      </c>
      <c r="L121" s="175" t="s">
        <v>44</v>
      </c>
      <c r="M121" s="175"/>
      <c r="N121" s="164">
        <v>109</v>
      </c>
      <c r="O121" s="199">
        <v>2.7</v>
      </c>
      <c r="P121" s="90">
        <v>12</v>
      </c>
      <c r="Q121" s="90"/>
      <c r="R121" s="157">
        <f t="shared" si="28"/>
        <v>9.7839583600314597E-2</v>
      </c>
      <c r="S121" s="90">
        <v>-1</v>
      </c>
      <c r="T121" s="174">
        <f t="shared" si="29"/>
        <v>-9.783958360031457E-2</v>
      </c>
      <c r="U121" s="174">
        <f t="shared" si="30"/>
        <v>-9.4465804855476135E-2</v>
      </c>
      <c r="V121" s="174">
        <f t="shared" si="31"/>
        <v>-0.35759897828863346</v>
      </c>
      <c r="W121" s="21" t="s">
        <v>624</v>
      </c>
      <c r="Y121" s="199"/>
      <c r="Z121" s="161">
        <v>-0.35759897828863346</v>
      </c>
      <c r="AA121" s="90"/>
      <c r="AB121" s="157"/>
      <c r="AC121" s="90"/>
      <c r="AD121" s="174"/>
      <c r="AE121" s="174"/>
      <c r="AF121" s="174"/>
    </row>
    <row r="122" spans="1:32" ht="16.5" customHeight="1" x14ac:dyDescent="0.2">
      <c r="A122" s="20" t="s">
        <v>228</v>
      </c>
      <c r="B122" s="90" t="s">
        <v>41</v>
      </c>
      <c r="C122" s="88">
        <v>2007</v>
      </c>
      <c r="D122" s="88" t="s">
        <v>624</v>
      </c>
      <c r="E122" s="152" t="s">
        <v>235</v>
      </c>
      <c r="F122" s="90">
        <v>3</v>
      </c>
      <c r="G122" s="90">
        <v>5</v>
      </c>
      <c r="H122" s="90"/>
      <c r="I122" s="164">
        <v>99</v>
      </c>
      <c r="J122" s="199">
        <v>11.8</v>
      </c>
      <c r="K122" s="90">
        <v>12</v>
      </c>
      <c r="L122" s="175" t="s">
        <v>44</v>
      </c>
      <c r="M122" s="175"/>
      <c r="N122" s="164">
        <v>100</v>
      </c>
      <c r="O122" s="199">
        <v>11.4</v>
      </c>
      <c r="P122" s="90">
        <v>12</v>
      </c>
      <c r="Q122" s="90"/>
      <c r="R122" s="157">
        <f t="shared" si="28"/>
        <v>8.6194086254223923E-2</v>
      </c>
      <c r="S122" s="90">
        <v>-1</v>
      </c>
      <c r="T122" s="174">
        <f t="shared" si="29"/>
        <v>-8.6194086254223923E-2</v>
      </c>
      <c r="U122" s="174">
        <f t="shared" si="30"/>
        <v>-8.3221876383388613E-2</v>
      </c>
      <c r="V122" s="174">
        <f t="shared" si="31"/>
        <v>-8.4694494857834243E-2</v>
      </c>
      <c r="W122" s="21" t="s">
        <v>624</v>
      </c>
      <c r="Y122" s="199"/>
      <c r="Z122" s="161">
        <v>-8.4694494857834243E-2</v>
      </c>
      <c r="AA122" s="90"/>
      <c r="AB122" s="157"/>
      <c r="AC122" s="90"/>
      <c r="AD122" s="174"/>
      <c r="AE122" s="174"/>
      <c r="AF122" s="174"/>
    </row>
    <row r="123" spans="1:32" ht="16.5" customHeight="1" x14ac:dyDescent="0.2">
      <c r="A123" s="20" t="s">
        <v>228</v>
      </c>
      <c r="B123" s="90" t="s">
        <v>60</v>
      </c>
      <c r="C123" s="88">
        <v>2017</v>
      </c>
      <c r="D123" s="88" t="s">
        <v>624</v>
      </c>
      <c r="E123" s="152" t="s">
        <v>237</v>
      </c>
      <c r="F123" s="90">
        <v>4</v>
      </c>
      <c r="G123" s="90">
        <v>6</v>
      </c>
      <c r="H123" s="90"/>
      <c r="I123" s="164">
        <v>24.1</v>
      </c>
      <c r="J123" s="199">
        <v>11.2</v>
      </c>
      <c r="K123" s="90">
        <v>37</v>
      </c>
      <c r="L123" s="89">
        <v>720</v>
      </c>
      <c r="M123" s="89"/>
      <c r="N123" s="164">
        <v>20.5</v>
      </c>
      <c r="O123" s="199">
        <v>8.4</v>
      </c>
      <c r="P123" s="90">
        <v>30</v>
      </c>
      <c r="Q123" s="90"/>
      <c r="R123" s="157">
        <f t="shared" si="28"/>
        <v>-0.36365491603879602</v>
      </c>
      <c r="S123" s="90">
        <v>1</v>
      </c>
      <c r="T123" s="174">
        <f t="shared" si="29"/>
        <v>-0.35829307866221516</v>
      </c>
      <c r="U123" s="174">
        <f t="shared" si="30"/>
        <v>-0.35414296578195786</v>
      </c>
      <c r="V123" s="174">
        <f t="shared" si="31"/>
        <v>-0.42360728075013804</v>
      </c>
      <c r="W123" s="21" t="s">
        <v>624</v>
      </c>
      <c r="Y123" s="199"/>
      <c r="Z123" s="161">
        <v>-0.42360728075013804</v>
      </c>
      <c r="AA123" s="90"/>
      <c r="AB123" s="157"/>
      <c r="AC123" s="90"/>
      <c r="AD123" s="174"/>
      <c r="AE123" s="174"/>
      <c r="AF123" s="174"/>
    </row>
    <row r="124" spans="1:32" ht="16.5" customHeight="1" x14ac:dyDescent="0.2">
      <c r="A124" s="20" t="s">
        <v>228</v>
      </c>
      <c r="B124" s="90" t="s">
        <v>60</v>
      </c>
      <c r="C124" s="88">
        <v>2017</v>
      </c>
      <c r="D124" s="88" t="s">
        <v>624</v>
      </c>
      <c r="E124" s="152" t="s">
        <v>239</v>
      </c>
      <c r="F124" s="90">
        <v>4</v>
      </c>
      <c r="G124" s="90">
        <v>7</v>
      </c>
      <c r="H124" s="90"/>
      <c r="I124" s="164">
        <v>16.3</v>
      </c>
      <c r="J124" s="199">
        <v>15.9</v>
      </c>
      <c r="K124" s="90">
        <v>37</v>
      </c>
      <c r="L124" s="89">
        <v>720</v>
      </c>
      <c r="M124" s="89"/>
      <c r="N124" s="164">
        <v>15.1</v>
      </c>
      <c r="O124" s="199">
        <v>15.1</v>
      </c>
      <c r="P124" s="90">
        <v>30</v>
      </c>
      <c r="Q124" s="90"/>
      <c r="R124" s="157">
        <f t="shared" si="28"/>
        <v>-7.7393588110088715E-2</v>
      </c>
      <c r="S124" s="90">
        <v>1</v>
      </c>
      <c r="T124" s="174">
        <f t="shared" si="29"/>
        <v>-7.7179533708483197E-2</v>
      </c>
      <c r="U124" s="174">
        <f t="shared" si="30"/>
        <v>-7.6285562275566404E-2</v>
      </c>
      <c r="V124" s="174">
        <f t="shared" si="31"/>
        <v>-7.8549694443734247E-2</v>
      </c>
      <c r="W124" s="21" t="s">
        <v>624</v>
      </c>
      <c r="Y124" s="199"/>
      <c r="Z124" s="161">
        <v>-7.8549694443734247E-2</v>
      </c>
      <c r="AA124" s="90"/>
      <c r="AB124" s="157"/>
      <c r="AC124" s="90"/>
      <c r="AD124" s="174"/>
      <c r="AE124" s="174"/>
      <c r="AF124" s="174"/>
    </row>
    <row r="125" spans="1:32" ht="16.5" customHeight="1" x14ac:dyDescent="0.2">
      <c r="A125" s="20" t="s">
        <v>228</v>
      </c>
      <c r="B125" s="90" t="s">
        <v>60</v>
      </c>
      <c r="C125" s="88">
        <v>2017</v>
      </c>
      <c r="D125" s="88" t="s">
        <v>624</v>
      </c>
      <c r="E125" s="152" t="s">
        <v>241</v>
      </c>
      <c r="F125" s="90">
        <v>4</v>
      </c>
      <c r="G125" s="90">
        <v>8</v>
      </c>
      <c r="H125" s="90"/>
      <c r="I125" s="164">
        <v>43.5</v>
      </c>
      <c r="J125" s="199">
        <v>22.9</v>
      </c>
      <c r="K125" s="90">
        <v>37</v>
      </c>
      <c r="L125" s="89">
        <v>720</v>
      </c>
      <c r="M125" s="89"/>
      <c r="N125" s="164">
        <v>47</v>
      </c>
      <c r="O125" s="199">
        <v>14.9</v>
      </c>
      <c r="P125" s="90">
        <v>30</v>
      </c>
      <c r="Q125" s="90"/>
      <c r="R125" s="157">
        <f t="shared" si="28"/>
        <v>0.1811721375541869</v>
      </c>
      <c r="S125" s="90">
        <v>1</v>
      </c>
      <c r="T125" s="174">
        <f t="shared" si="29"/>
        <v>0.17734468327121153</v>
      </c>
      <c r="U125" s="174">
        <f t="shared" si="30"/>
        <v>0.17529049775069558</v>
      </c>
      <c r="V125" s="174">
        <f t="shared" si="31"/>
        <v>0.23217848721204426</v>
      </c>
      <c r="W125" s="21" t="s">
        <v>624</v>
      </c>
      <c r="Y125" s="199"/>
      <c r="Z125" s="161">
        <v>0.23217848721204426</v>
      </c>
      <c r="AA125" s="90"/>
      <c r="AB125" s="157"/>
      <c r="AC125" s="90"/>
      <c r="AD125" s="174"/>
      <c r="AE125" s="174"/>
      <c r="AF125" s="174"/>
    </row>
    <row r="126" spans="1:32" ht="16.5" customHeight="1" x14ac:dyDescent="0.2">
      <c r="A126" s="20" t="s">
        <v>228</v>
      </c>
      <c r="B126" s="90" t="s">
        <v>60</v>
      </c>
      <c r="C126" s="88">
        <v>2017</v>
      </c>
      <c r="D126" s="88" t="s">
        <v>624</v>
      </c>
      <c r="E126" s="152" t="s">
        <v>243</v>
      </c>
      <c r="F126" s="90">
        <v>4</v>
      </c>
      <c r="G126" s="90">
        <v>9</v>
      </c>
      <c r="H126" s="90"/>
      <c r="I126" s="164">
        <v>20.399999999999999</v>
      </c>
      <c r="J126" s="199">
        <v>23.7</v>
      </c>
      <c r="K126" s="90">
        <v>37</v>
      </c>
      <c r="L126" s="89">
        <v>720</v>
      </c>
      <c r="M126" s="89"/>
      <c r="N126" s="164">
        <v>29.3</v>
      </c>
      <c r="O126" s="199">
        <v>24.5</v>
      </c>
      <c r="P126" s="90">
        <v>30</v>
      </c>
      <c r="Q126" s="90"/>
      <c r="R126" s="157">
        <f t="shared" si="28"/>
        <v>0.36924375016627187</v>
      </c>
      <c r="S126" s="90">
        <v>1</v>
      </c>
      <c r="T126" s="174">
        <f t="shared" si="29"/>
        <v>0.36990533746144177</v>
      </c>
      <c r="U126" s="174">
        <f t="shared" si="30"/>
        <v>0.36562071965300807</v>
      </c>
      <c r="V126" s="174">
        <f t="shared" si="31"/>
        <v>0.35905759987392649</v>
      </c>
      <c r="W126" s="21" t="s">
        <v>624</v>
      </c>
      <c r="Y126" s="199"/>
      <c r="Z126" s="161">
        <v>0.35905759987392649</v>
      </c>
      <c r="AA126" s="90"/>
      <c r="AB126" s="157"/>
      <c r="AC126" s="90"/>
      <c r="AD126" s="174"/>
      <c r="AE126" s="174"/>
      <c r="AF126" s="174"/>
    </row>
    <row r="127" spans="1:32" ht="16.5" customHeight="1" x14ac:dyDescent="0.2">
      <c r="A127" s="20" t="s">
        <v>228</v>
      </c>
      <c r="B127" s="90" t="s">
        <v>509</v>
      </c>
      <c r="C127" s="88">
        <v>2021</v>
      </c>
      <c r="D127" s="88" t="s">
        <v>624</v>
      </c>
      <c r="E127" s="152" t="s">
        <v>519</v>
      </c>
      <c r="F127" s="90">
        <v>5</v>
      </c>
      <c r="G127" s="90">
        <v>10</v>
      </c>
      <c r="H127" s="90"/>
      <c r="I127" s="163">
        <v>13</v>
      </c>
      <c r="J127" s="155">
        <f>(18-11)/1.35</f>
        <v>5.1851851851851851</v>
      </c>
      <c r="K127" s="88">
        <v>19</v>
      </c>
      <c r="L127" s="165">
        <v>890</v>
      </c>
      <c r="M127" s="165"/>
      <c r="N127" s="163">
        <v>20</v>
      </c>
      <c r="O127" s="155">
        <f>(22-18)/1.35</f>
        <v>2.9629629629629628</v>
      </c>
      <c r="P127" s="88">
        <v>25</v>
      </c>
      <c r="Q127" s="90"/>
      <c r="R127" s="157">
        <f t="shared" si="28"/>
        <v>1.6576396564902851</v>
      </c>
      <c r="S127" s="90">
        <v>-1</v>
      </c>
      <c r="T127" s="174">
        <f t="shared" si="29"/>
        <v>-1.7212327501226519</v>
      </c>
      <c r="U127" s="174">
        <f t="shared" si="30"/>
        <v>-1.6903124013180533</v>
      </c>
      <c r="V127" s="174">
        <f t="shared" si="31"/>
        <v>-2.3200598802395214</v>
      </c>
      <c r="W127" s="21" t="s">
        <v>624</v>
      </c>
      <c r="Y127" s="155"/>
      <c r="Z127" s="189">
        <v>-2.3200598802395214</v>
      </c>
      <c r="AA127" s="90"/>
      <c r="AB127" s="157"/>
      <c r="AC127" s="90"/>
      <c r="AD127" s="174"/>
      <c r="AE127" s="174"/>
      <c r="AF127" s="174"/>
    </row>
    <row r="128" spans="1:32" ht="16.5" customHeight="1" x14ac:dyDescent="0.2">
      <c r="A128" s="20" t="s">
        <v>228</v>
      </c>
      <c r="B128" s="88" t="s">
        <v>77</v>
      </c>
      <c r="C128" s="88">
        <v>2020</v>
      </c>
      <c r="D128" s="88" t="s">
        <v>624</v>
      </c>
      <c r="E128" s="152" t="s">
        <v>241</v>
      </c>
      <c r="F128" s="88">
        <v>6</v>
      </c>
      <c r="G128" s="90">
        <v>11</v>
      </c>
      <c r="H128" s="90"/>
      <c r="I128" s="163">
        <v>20.8</v>
      </c>
      <c r="J128" s="155">
        <v>8.8000000000000007</v>
      </c>
      <c r="K128" s="88">
        <v>19</v>
      </c>
      <c r="L128" s="89">
        <v>1042</v>
      </c>
      <c r="M128" s="89"/>
      <c r="N128" s="163">
        <v>19.7</v>
      </c>
      <c r="O128" s="155">
        <v>6.1</v>
      </c>
      <c r="P128" s="88">
        <v>19</v>
      </c>
      <c r="Q128" s="88"/>
      <c r="R128" s="157">
        <f t="shared" si="28"/>
        <v>-0.14528495842730813</v>
      </c>
      <c r="S128" s="90">
        <v>1</v>
      </c>
      <c r="T128" s="174">
        <f t="shared" si="29"/>
        <v>-0.14528495842730813</v>
      </c>
      <c r="U128" s="174">
        <f t="shared" si="30"/>
        <v>-0.14223702223652546</v>
      </c>
      <c r="V128" s="174">
        <f t="shared" si="31"/>
        <v>-0.17654476670870139</v>
      </c>
      <c r="W128" s="21" t="s">
        <v>624</v>
      </c>
      <c r="Y128" s="155"/>
      <c r="Z128" s="189">
        <v>-0.17654476670870139</v>
      </c>
      <c r="AA128" s="88"/>
      <c r="AB128" s="157"/>
      <c r="AC128" s="90"/>
      <c r="AD128" s="174"/>
      <c r="AE128" s="174"/>
      <c r="AF128" s="174"/>
    </row>
    <row r="129" spans="1:32" ht="16.5" customHeight="1" x14ac:dyDescent="0.2">
      <c r="A129" s="20" t="s">
        <v>228</v>
      </c>
      <c r="B129" s="88" t="s">
        <v>77</v>
      </c>
      <c r="C129" s="88">
        <v>2020</v>
      </c>
      <c r="D129" s="88" t="s">
        <v>624</v>
      </c>
      <c r="E129" s="152" t="s">
        <v>243</v>
      </c>
      <c r="F129" s="88">
        <v>6</v>
      </c>
      <c r="G129" s="90">
        <v>12</v>
      </c>
      <c r="H129" s="90"/>
      <c r="I129" s="163">
        <v>10.199999999999999</v>
      </c>
      <c r="J129" s="155">
        <v>11</v>
      </c>
      <c r="K129" s="88">
        <v>19</v>
      </c>
      <c r="L129" s="89">
        <v>1042</v>
      </c>
      <c r="M129" s="89"/>
      <c r="N129" s="163">
        <v>4.9000000000000004</v>
      </c>
      <c r="O129" s="155">
        <v>7</v>
      </c>
      <c r="P129" s="88">
        <v>19</v>
      </c>
      <c r="Q129" s="88"/>
      <c r="R129" s="157">
        <f t="shared" si="28"/>
        <v>-0.5748657132194388</v>
      </c>
      <c r="S129" s="90">
        <v>1</v>
      </c>
      <c r="T129" s="174">
        <f t="shared" si="29"/>
        <v>-0.5748657132194388</v>
      </c>
      <c r="U129" s="174">
        <f t="shared" si="30"/>
        <v>-0.56280559336168834</v>
      </c>
      <c r="V129" s="174">
        <f t="shared" si="31"/>
        <v>-0.74125874125874114</v>
      </c>
      <c r="W129" s="21" t="s">
        <v>624</v>
      </c>
      <c r="Y129" s="155"/>
      <c r="Z129" s="189">
        <v>-0.74125874125874114</v>
      </c>
      <c r="AA129" s="88"/>
      <c r="AB129" s="157"/>
      <c r="AC129" s="90"/>
      <c r="AD129" s="174"/>
      <c r="AE129" s="174"/>
      <c r="AF129" s="174"/>
    </row>
    <row r="130" spans="1:32" ht="16.5" customHeight="1" x14ac:dyDescent="0.2">
      <c r="A130" s="20" t="s">
        <v>228</v>
      </c>
      <c r="B130" s="90" t="s">
        <v>76</v>
      </c>
      <c r="C130" s="88">
        <v>1996</v>
      </c>
      <c r="D130" s="88" t="s">
        <v>624</v>
      </c>
      <c r="E130" s="152" t="s">
        <v>246</v>
      </c>
      <c r="F130" s="90">
        <v>7</v>
      </c>
      <c r="G130" s="90">
        <v>13</v>
      </c>
      <c r="H130" s="90"/>
      <c r="I130" s="164">
        <v>10.3</v>
      </c>
      <c r="J130" s="155">
        <v>4.9000000000000004</v>
      </c>
      <c r="K130" s="88">
        <v>11</v>
      </c>
      <c r="L130" s="165">
        <v>1545</v>
      </c>
      <c r="M130" s="165"/>
      <c r="N130" s="163">
        <v>14.02</v>
      </c>
      <c r="O130" s="155">
        <v>3.59</v>
      </c>
      <c r="P130" s="88">
        <v>22</v>
      </c>
      <c r="Q130" s="90"/>
      <c r="R130" s="157">
        <f t="shared" si="28"/>
        <v>0.86607586438741158</v>
      </c>
      <c r="S130" s="90">
        <v>-1</v>
      </c>
      <c r="T130" s="174">
        <f t="shared" si="29"/>
        <v>-0.91647275055592392</v>
      </c>
      <c r="U130" s="174">
        <f t="shared" si="30"/>
        <v>-0.89411975663992571</v>
      </c>
      <c r="V130" s="174">
        <f t="shared" si="31"/>
        <v>-1.0109382430871658</v>
      </c>
      <c r="W130" s="21" t="s">
        <v>624</v>
      </c>
      <c r="Y130" s="155"/>
      <c r="Z130" s="189">
        <v>-1.0109382430871658</v>
      </c>
      <c r="AA130" s="90"/>
      <c r="AB130" s="157"/>
      <c r="AC130" s="90"/>
      <c r="AD130" s="174"/>
      <c r="AE130" s="174"/>
      <c r="AF130" s="174"/>
    </row>
    <row r="131" spans="1:32" ht="16.5" customHeight="1" x14ac:dyDescent="0.2">
      <c r="A131" s="20" t="s">
        <v>228</v>
      </c>
      <c r="B131" s="90" t="s">
        <v>76</v>
      </c>
      <c r="C131" s="88">
        <v>1996</v>
      </c>
      <c r="D131" s="88" t="s">
        <v>624</v>
      </c>
      <c r="E131" s="152" t="s">
        <v>248</v>
      </c>
      <c r="F131" s="90">
        <v>7</v>
      </c>
      <c r="G131" s="90">
        <v>14</v>
      </c>
      <c r="H131" s="90"/>
      <c r="I131" s="163">
        <v>8.85</v>
      </c>
      <c r="J131" s="155">
        <v>4.01</v>
      </c>
      <c r="K131" s="88">
        <v>11</v>
      </c>
      <c r="L131" s="165">
        <v>1545</v>
      </c>
      <c r="M131" s="165"/>
      <c r="N131" s="163">
        <v>12.66</v>
      </c>
      <c r="O131" s="155">
        <v>3.69</v>
      </c>
      <c r="P131" s="88">
        <v>22</v>
      </c>
      <c r="Q131" s="90"/>
      <c r="R131" s="157">
        <f t="shared" si="28"/>
        <v>0.98875691491790563</v>
      </c>
      <c r="S131" s="90">
        <v>-1</v>
      </c>
      <c r="T131" s="174">
        <f t="shared" si="29"/>
        <v>-1.0036420298583131</v>
      </c>
      <c r="U131" s="174">
        <f t="shared" si="30"/>
        <v>-0.97916295595932978</v>
      </c>
      <c r="V131" s="174">
        <f t="shared" si="31"/>
        <v>-1.0073369026373191</v>
      </c>
      <c r="W131" s="21" t="s">
        <v>624</v>
      </c>
      <c r="Y131" s="155"/>
      <c r="Z131" s="189">
        <v>-1.0073369026373191</v>
      </c>
      <c r="AA131" s="90"/>
      <c r="AB131" s="157"/>
      <c r="AC131" s="90"/>
      <c r="AD131" s="174"/>
      <c r="AE131" s="174"/>
      <c r="AF131" s="174"/>
    </row>
    <row r="132" spans="1:32" ht="16.5" customHeight="1" x14ac:dyDescent="0.2">
      <c r="A132" s="20" t="s">
        <v>228</v>
      </c>
      <c r="B132" s="90" t="s">
        <v>73</v>
      </c>
      <c r="C132" s="88">
        <v>1996</v>
      </c>
      <c r="D132" s="88" t="s">
        <v>624</v>
      </c>
      <c r="E132" s="152" t="s">
        <v>246</v>
      </c>
      <c r="F132" s="90">
        <v>8</v>
      </c>
      <c r="G132" s="90">
        <v>15</v>
      </c>
      <c r="H132" s="90"/>
      <c r="I132" s="164">
        <v>12.35</v>
      </c>
      <c r="J132" s="155">
        <v>3.52</v>
      </c>
      <c r="K132" s="88">
        <v>11</v>
      </c>
      <c r="L132" s="165">
        <v>566</v>
      </c>
      <c r="M132" s="165"/>
      <c r="N132" s="163">
        <v>14.02</v>
      </c>
      <c r="O132" s="155">
        <v>3.59</v>
      </c>
      <c r="P132" s="88">
        <v>22</v>
      </c>
      <c r="Q132" s="90"/>
      <c r="R132" s="157">
        <f t="shared" si="28"/>
        <v>0.46973813490351979</v>
      </c>
      <c r="S132" s="90">
        <v>-1</v>
      </c>
      <c r="T132" s="174">
        <f t="shared" si="29"/>
        <v>-0.46810581669268231</v>
      </c>
      <c r="U132" s="174">
        <f t="shared" si="30"/>
        <v>-0.45668860165139735</v>
      </c>
      <c r="V132" s="174">
        <f t="shared" si="31"/>
        <v>-0.45383517902031389</v>
      </c>
      <c r="W132" s="21" t="s">
        <v>624</v>
      </c>
      <c r="Y132" s="155"/>
      <c r="Z132" s="189">
        <v>-0.45383517902031389</v>
      </c>
      <c r="AA132" s="90"/>
      <c r="AB132" s="157"/>
      <c r="AC132" s="90"/>
      <c r="AD132" s="174"/>
      <c r="AE132" s="174"/>
      <c r="AF132" s="174"/>
    </row>
    <row r="133" spans="1:32" ht="16.5" customHeight="1" x14ac:dyDescent="0.2">
      <c r="A133" s="20" t="s">
        <v>228</v>
      </c>
      <c r="B133" s="90" t="s">
        <v>73</v>
      </c>
      <c r="C133" s="88">
        <v>1996</v>
      </c>
      <c r="D133" s="88" t="s">
        <v>624</v>
      </c>
      <c r="E133" s="152" t="s">
        <v>248</v>
      </c>
      <c r="F133" s="90">
        <v>8</v>
      </c>
      <c r="G133" s="90">
        <v>16</v>
      </c>
      <c r="H133" s="90"/>
      <c r="I133" s="164">
        <v>10.75</v>
      </c>
      <c r="J133" s="155">
        <v>4.0599999999999996</v>
      </c>
      <c r="K133" s="88">
        <v>11</v>
      </c>
      <c r="L133" s="165">
        <v>566</v>
      </c>
      <c r="M133" s="165"/>
      <c r="N133" s="163">
        <v>12.66</v>
      </c>
      <c r="O133" s="155">
        <v>3.69</v>
      </c>
      <c r="P133" s="88">
        <v>22</v>
      </c>
      <c r="Q133" s="90"/>
      <c r="R133" s="157">
        <f t="shared" si="28"/>
        <v>0.49234244896618845</v>
      </c>
      <c r="S133" s="90">
        <v>-1</v>
      </c>
      <c r="T133" s="174">
        <f t="shared" si="29"/>
        <v>-0.50088120626911026</v>
      </c>
      <c r="U133" s="174">
        <f t="shared" si="30"/>
        <v>-0.48866459148205876</v>
      </c>
      <c r="V133" s="174">
        <f t="shared" si="31"/>
        <v>-0.50499041575781611</v>
      </c>
      <c r="W133" s="21" t="s">
        <v>627</v>
      </c>
      <c r="X133" s="163"/>
      <c r="Z133" s="88"/>
      <c r="AA133" s="216">
        <v>-0.50499041575781611</v>
      </c>
      <c r="AB133" s="157"/>
      <c r="AC133" s="90"/>
      <c r="AD133" s="174"/>
      <c r="AE133" s="174"/>
      <c r="AF133" s="174"/>
    </row>
    <row r="134" spans="1:32" ht="16.5" customHeight="1" x14ac:dyDescent="0.2">
      <c r="A134" s="20" t="s">
        <v>660</v>
      </c>
      <c r="B134" s="90" t="s">
        <v>127</v>
      </c>
      <c r="C134" s="88">
        <v>2018</v>
      </c>
      <c r="D134" s="88" t="s">
        <v>627</v>
      </c>
      <c r="E134" s="152" t="s">
        <v>132</v>
      </c>
      <c r="F134" s="90">
        <v>4</v>
      </c>
      <c r="G134" s="90">
        <v>8</v>
      </c>
      <c r="H134" s="89"/>
      <c r="I134" s="163">
        <v>85.9</v>
      </c>
      <c r="J134" s="155">
        <v>16.7</v>
      </c>
      <c r="K134" s="88">
        <v>15</v>
      </c>
      <c r="L134" s="89">
        <v>751.2</v>
      </c>
      <c r="M134" s="89"/>
      <c r="N134" s="163">
        <v>75.7</v>
      </c>
      <c r="O134" s="155">
        <v>19.2</v>
      </c>
      <c r="P134" s="88">
        <v>24</v>
      </c>
      <c r="Q134" s="88"/>
      <c r="R134" s="157">
        <f t="shared" si="28"/>
        <v>-0.56687228263993794</v>
      </c>
      <c r="S134" s="90">
        <v>1</v>
      </c>
      <c r="T134" s="174">
        <f t="shared" si="29"/>
        <v>-0.55755143881517988</v>
      </c>
      <c r="U134" s="174">
        <f t="shared" si="30"/>
        <v>-0.54617283802303329</v>
      </c>
      <c r="V134" s="174">
        <f t="shared" si="31"/>
        <v>-0.52040816326530637</v>
      </c>
      <c r="W134" s="21" t="s">
        <v>627</v>
      </c>
      <c r="X134" s="163"/>
      <c r="Z134" s="88"/>
      <c r="AA134" s="216">
        <v>-0.52040816326530637</v>
      </c>
      <c r="AB134" s="157"/>
      <c r="AC134" s="90"/>
      <c r="AD134" s="174"/>
      <c r="AE134" s="174"/>
      <c r="AF134" s="174"/>
    </row>
    <row r="135" spans="1:32" ht="16.5" customHeight="1" x14ac:dyDescent="0.2">
      <c r="A135" s="20" t="s">
        <v>660</v>
      </c>
      <c r="B135" s="90" t="s">
        <v>60</v>
      </c>
      <c r="C135" s="88">
        <v>2017</v>
      </c>
      <c r="D135" s="88" t="s">
        <v>627</v>
      </c>
      <c r="E135" s="152" t="s">
        <v>104</v>
      </c>
      <c r="F135" s="90">
        <v>7</v>
      </c>
      <c r="G135" s="90">
        <v>12</v>
      </c>
      <c r="H135" s="90"/>
      <c r="I135" s="163">
        <v>111.3</v>
      </c>
      <c r="J135" s="155">
        <v>86.7</v>
      </c>
      <c r="K135" s="88">
        <v>37</v>
      </c>
      <c r="L135" s="89">
        <v>720</v>
      </c>
      <c r="M135" s="89"/>
      <c r="N135" s="163">
        <v>94.3</v>
      </c>
      <c r="O135" s="155">
        <v>51.9</v>
      </c>
      <c r="P135" s="88">
        <v>30</v>
      </c>
      <c r="Q135" s="88"/>
      <c r="R135" s="157">
        <f t="shared" si="28"/>
        <v>-0.23792518429246062</v>
      </c>
      <c r="S135" s="90">
        <v>1</v>
      </c>
      <c r="T135" s="174">
        <f t="shared" si="29"/>
        <v>-0.23209483280355711</v>
      </c>
      <c r="U135" s="174">
        <f t="shared" si="30"/>
        <v>-0.22940647566683639</v>
      </c>
      <c r="V135" s="174">
        <f t="shared" si="31"/>
        <v>-0.32375893647569948</v>
      </c>
      <c r="W135" s="21" t="s">
        <v>627</v>
      </c>
      <c r="X135" s="163"/>
      <c r="Z135" s="88"/>
      <c r="AA135" s="216">
        <v>-0.32375893647569948</v>
      </c>
      <c r="AB135" s="157"/>
      <c r="AC135" s="90"/>
      <c r="AD135" s="174"/>
      <c r="AE135" s="174"/>
      <c r="AF135" s="174"/>
    </row>
    <row r="136" spans="1:32" ht="16.5" customHeight="1" x14ac:dyDescent="0.2">
      <c r="A136" s="20" t="s">
        <v>660</v>
      </c>
      <c r="B136" s="90" t="s">
        <v>60</v>
      </c>
      <c r="C136" s="88">
        <v>2017</v>
      </c>
      <c r="D136" s="88" t="s">
        <v>627</v>
      </c>
      <c r="E136" s="152" t="s">
        <v>136</v>
      </c>
      <c r="F136" s="90">
        <v>7</v>
      </c>
      <c r="G136" s="90">
        <v>14</v>
      </c>
      <c r="H136" s="90"/>
      <c r="I136" s="163">
        <v>173</v>
      </c>
      <c r="J136" s="155">
        <v>94.6</v>
      </c>
      <c r="K136" s="88">
        <v>37</v>
      </c>
      <c r="L136" s="89">
        <v>720</v>
      </c>
      <c r="M136" s="89"/>
      <c r="N136" s="163">
        <v>145</v>
      </c>
      <c r="O136" s="155">
        <v>62.9</v>
      </c>
      <c r="P136" s="88">
        <v>30</v>
      </c>
      <c r="Q136" s="88"/>
      <c r="R136" s="157">
        <f t="shared" si="28"/>
        <v>-0.34856552736054808</v>
      </c>
      <c r="S136" s="90">
        <v>1</v>
      </c>
      <c r="T136" s="174">
        <f t="shared" si="29"/>
        <v>-0.34152372539457815</v>
      </c>
      <c r="U136" s="174">
        <f t="shared" si="30"/>
        <v>-0.33756785212745949</v>
      </c>
      <c r="V136" s="174">
        <f t="shared" si="31"/>
        <v>-0.43999484381042409</v>
      </c>
      <c r="W136" s="21" t="s">
        <v>627</v>
      </c>
      <c r="X136" s="163"/>
      <c r="Z136" s="88"/>
      <c r="AA136" s="216">
        <v>-0.43999484381042409</v>
      </c>
      <c r="AB136" s="157"/>
      <c r="AC136" s="90"/>
      <c r="AD136" s="174"/>
      <c r="AE136" s="174"/>
      <c r="AF136" s="174"/>
    </row>
    <row r="137" spans="1:32" ht="16.5" customHeight="1" x14ac:dyDescent="0.2">
      <c r="A137" s="20" t="s">
        <v>660</v>
      </c>
      <c r="B137" s="90" t="s">
        <v>106</v>
      </c>
      <c r="C137" s="88">
        <v>2011</v>
      </c>
      <c r="D137" s="88" t="s">
        <v>627</v>
      </c>
      <c r="E137" s="152" t="s">
        <v>107</v>
      </c>
      <c r="F137" s="90">
        <v>9</v>
      </c>
      <c r="G137" s="90">
        <v>17</v>
      </c>
      <c r="H137" s="90"/>
      <c r="I137" s="163">
        <v>167</v>
      </c>
      <c r="J137" s="155">
        <v>81.3</v>
      </c>
      <c r="K137" s="88">
        <v>8</v>
      </c>
      <c r="L137" s="89">
        <v>1140</v>
      </c>
      <c r="M137" s="89"/>
      <c r="N137" s="163">
        <v>157.19999999999999</v>
      </c>
      <c r="O137" s="155">
        <v>80.900000000000006</v>
      </c>
      <c r="P137" s="88">
        <v>15</v>
      </c>
      <c r="Q137" s="88"/>
      <c r="R137" s="157">
        <f t="shared" si="28"/>
        <v>-0.12083810357911694</v>
      </c>
      <c r="S137" s="90">
        <v>1</v>
      </c>
      <c r="T137" s="174">
        <f t="shared" si="29"/>
        <v>-0.12093755821964521</v>
      </c>
      <c r="U137" s="174">
        <f t="shared" si="30"/>
        <v>-0.11656632117556165</v>
      </c>
      <c r="V137" s="174">
        <f t="shared" si="31"/>
        <v>-0.11675875318331434</v>
      </c>
      <c r="W137" s="21" t="s">
        <v>627</v>
      </c>
      <c r="X137" s="163"/>
      <c r="Z137" s="88"/>
      <c r="AA137" s="216">
        <v>-0.11675875318331434</v>
      </c>
      <c r="AB137" s="157"/>
      <c r="AC137" s="90"/>
      <c r="AD137" s="174"/>
      <c r="AE137" s="174"/>
      <c r="AF137" s="174"/>
    </row>
    <row r="138" spans="1:32" ht="16.5" customHeight="1" x14ac:dyDescent="0.2">
      <c r="A138" s="20" t="s">
        <v>660</v>
      </c>
      <c r="B138" s="90" t="s">
        <v>110</v>
      </c>
      <c r="C138" s="88">
        <v>2011</v>
      </c>
      <c r="D138" s="88" t="s">
        <v>627</v>
      </c>
      <c r="E138" s="152" t="s">
        <v>107</v>
      </c>
      <c r="F138" s="90">
        <v>10</v>
      </c>
      <c r="G138" s="90">
        <v>18</v>
      </c>
      <c r="H138" s="90"/>
      <c r="I138" s="163">
        <v>121.5</v>
      </c>
      <c r="J138" s="155">
        <v>64</v>
      </c>
      <c r="K138" s="88">
        <v>9</v>
      </c>
      <c r="L138" s="89">
        <v>1210</v>
      </c>
      <c r="M138" s="89"/>
      <c r="N138" s="163">
        <v>124.1</v>
      </c>
      <c r="O138" s="155">
        <v>98.6</v>
      </c>
      <c r="P138" s="88">
        <v>15</v>
      </c>
      <c r="Q138" s="88"/>
      <c r="R138" s="157">
        <f t="shared" si="28"/>
        <v>3.1279973771031075E-2</v>
      </c>
      <c r="S138" s="90">
        <v>1</v>
      </c>
      <c r="T138" s="174">
        <f t="shared" si="29"/>
        <v>2.9675732086079119E-2</v>
      </c>
      <c r="U138" s="174">
        <f t="shared" si="30"/>
        <v>2.8652430979662601E-2</v>
      </c>
      <c r="V138" s="174">
        <f t="shared" si="31"/>
        <v>2.5459886689515231E-2</v>
      </c>
      <c r="W138" s="21" t="s">
        <v>627</v>
      </c>
      <c r="X138" s="163"/>
      <c r="Z138" s="88"/>
      <c r="AA138" s="216">
        <v>2.5459886689515231E-2</v>
      </c>
      <c r="AB138" s="157"/>
      <c r="AC138" s="90"/>
      <c r="AD138" s="174"/>
      <c r="AE138" s="174"/>
      <c r="AF138" s="174"/>
    </row>
    <row r="139" spans="1:32" ht="16.5" customHeight="1" x14ac:dyDescent="0.2">
      <c r="A139" s="20" t="s">
        <v>660</v>
      </c>
      <c r="B139" s="187" t="s">
        <v>112</v>
      </c>
      <c r="C139" s="88">
        <v>1996</v>
      </c>
      <c r="D139" s="88" t="s">
        <v>627</v>
      </c>
      <c r="E139" s="152" t="s">
        <v>113</v>
      </c>
      <c r="F139" s="88">
        <v>11</v>
      </c>
      <c r="G139" s="90">
        <v>19</v>
      </c>
      <c r="H139" s="90"/>
      <c r="I139" s="163">
        <v>52.3</v>
      </c>
      <c r="J139" s="155">
        <v>8.14</v>
      </c>
      <c r="K139" s="88">
        <v>8</v>
      </c>
      <c r="L139" s="89">
        <v>1253.0999999999999</v>
      </c>
      <c r="M139" s="89"/>
      <c r="N139" s="163">
        <v>54</v>
      </c>
      <c r="O139" s="155">
        <v>6.12</v>
      </c>
      <c r="P139" s="88">
        <v>8</v>
      </c>
      <c r="Q139" s="88"/>
      <c r="R139" s="157">
        <f>(N139-I139)/SQRT((O139^2+J139^2)/2)</f>
        <v>0.23607240642412908</v>
      </c>
      <c r="S139" s="90">
        <v>1</v>
      </c>
      <c r="T139" s="174">
        <f>(N139-I139)/SQRT((((P139-1)*O139^2) + ((K139-1)*J139^2))/(P139+K139-2))*S139</f>
        <v>0.23607240642412908</v>
      </c>
      <c r="U139" s="174">
        <f>T139*(1-(3/(4*(K139+P139-2) -1)))</f>
        <v>0.22319572971008567</v>
      </c>
      <c r="V139" s="174">
        <f>((N139-I139)/O139)*S139 * (1-(3/(4*(K139+P139-2)-1)))</f>
        <v>0.26262626262626304</v>
      </c>
      <c r="W139" s="190"/>
      <c r="X139" s="163"/>
      <c r="Z139" s="88"/>
      <c r="AA139" s="216">
        <v>0.26262626262626304</v>
      </c>
      <c r="AB139" s="157"/>
      <c r="AC139" s="90"/>
      <c r="AD139" s="174"/>
      <c r="AE139" s="174"/>
      <c r="AF139" s="174"/>
    </row>
    <row r="140" spans="1:32" ht="16.5" customHeight="1" x14ac:dyDescent="0.2">
      <c r="A140" s="20" t="s">
        <v>660</v>
      </c>
      <c r="B140" s="187" t="s">
        <v>112</v>
      </c>
      <c r="C140" s="200">
        <v>1996</v>
      </c>
      <c r="D140" s="88" t="s">
        <v>627</v>
      </c>
      <c r="E140" s="223" t="s">
        <v>113</v>
      </c>
      <c r="F140" s="200">
        <v>11</v>
      </c>
      <c r="G140" s="201">
        <v>19</v>
      </c>
      <c r="H140" s="201"/>
      <c r="I140" s="202">
        <v>52.3</v>
      </c>
      <c r="J140" s="203">
        <v>8.14</v>
      </c>
      <c r="K140" s="200">
        <v>8</v>
      </c>
      <c r="L140" s="204">
        <v>1253.0999999999999</v>
      </c>
      <c r="M140" s="204"/>
      <c r="N140" s="202">
        <v>54</v>
      </c>
      <c r="O140" s="203">
        <v>6.12</v>
      </c>
      <c r="P140" s="200">
        <v>8</v>
      </c>
      <c r="Q140" s="200"/>
      <c r="R140" s="205">
        <f>(N140-I140)/SQRT((O140^2+J140^2)/2)</f>
        <v>0.23607240642412908</v>
      </c>
      <c r="S140" s="201">
        <v>1</v>
      </c>
      <c r="T140" s="206">
        <f>(N140-I140)/SQRT((((P140-1)*O140^2) + ((K140-1)*J140^2))/(P140+K140-2))*S140</f>
        <v>0.23607240642412908</v>
      </c>
      <c r="U140" s="206">
        <f>T140*(1-(3/(4*(K140+P140-2) -1)))</f>
        <v>0.22319572971008567</v>
      </c>
      <c r="V140" s="206">
        <f>((N140-I140)/O140)*S140 * (1-(3/(4*(K140+P140-2)-1)))</f>
        <v>0.26262626262626304</v>
      </c>
      <c r="W140" s="21" t="s">
        <v>627</v>
      </c>
      <c r="X140" s="202"/>
      <c r="Z140" s="200"/>
      <c r="AA140" s="217">
        <v>0.26262626262626304</v>
      </c>
      <c r="AB140" s="205"/>
      <c r="AC140" s="201"/>
      <c r="AD140" s="206"/>
      <c r="AE140" s="206"/>
      <c r="AF140" s="206"/>
    </row>
    <row r="141" spans="1:32" ht="16.5" customHeight="1" x14ac:dyDescent="0.2">
      <c r="A141" s="20" t="s">
        <v>347</v>
      </c>
      <c r="B141" s="90" t="s">
        <v>127</v>
      </c>
      <c r="C141" s="88">
        <v>2018</v>
      </c>
      <c r="D141" s="88" t="s">
        <v>627</v>
      </c>
      <c r="E141" s="152" t="s">
        <v>348</v>
      </c>
      <c r="F141" s="90">
        <v>1</v>
      </c>
      <c r="G141" s="90">
        <v>1</v>
      </c>
      <c r="H141" s="90"/>
      <c r="I141" s="163">
        <v>704.5</v>
      </c>
      <c r="J141" s="155">
        <v>147.30000000000001</v>
      </c>
      <c r="K141" s="88">
        <v>15</v>
      </c>
      <c r="L141" s="89">
        <v>751.2</v>
      </c>
      <c r="M141" s="89"/>
      <c r="N141" s="163">
        <v>679</v>
      </c>
      <c r="O141" s="155">
        <v>143.1</v>
      </c>
      <c r="P141" s="88">
        <v>24</v>
      </c>
      <c r="Q141" s="88"/>
      <c r="R141" s="157">
        <f t="shared" ref="R141:R147" si="32">(N141-I141)/SQRT((O141^2+J141^2)/2)</f>
        <v>-0.17560147013923155</v>
      </c>
      <c r="S141" s="90">
        <v>1</v>
      </c>
      <c r="T141" s="174">
        <f t="shared" ref="T141:T147" si="33">(N141-I141)/SQRT((((P141-1)*O141^2) + ((K141-1)*J141^2))/(P141+K141-2))*S141</f>
        <v>-0.17622238131814019</v>
      </c>
      <c r="U141" s="174">
        <f t="shared" ref="U141:U147" si="34">T141*(1-(3/(4*(K141+P141-2) -1)))</f>
        <v>-0.17262600618919854</v>
      </c>
      <c r="V141" s="174">
        <f t="shared" ref="V141:V147" si="35">((N141-I141)/O141)*S141 * (1-(3/(4*(K141+P141-2)-1)))</f>
        <v>-0.17456039019381336</v>
      </c>
      <c r="W141" s="21" t="s">
        <v>627</v>
      </c>
      <c r="X141" s="163"/>
      <c r="Z141" s="88"/>
      <c r="AA141" s="216">
        <v>-0.17456039019381336</v>
      </c>
      <c r="AB141" s="157"/>
      <c r="AC141" s="90"/>
      <c r="AD141" s="174"/>
      <c r="AE141" s="174"/>
      <c r="AF141" s="174"/>
    </row>
    <row r="142" spans="1:32" ht="16.5" customHeight="1" x14ac:dyDescent="0.2">
      <c r="A142" s="20" t="s">
        <v>347</v>
      </c>
      <c r="B142" s="90" t="s">
        <v>60</v>
      </c>
      <c r="C142" s="88">
        <v>2017</v>
      </c>
      <c r="D142" s="88" t="s">
        <v>627</v>
      </c>
      <c r="E142" s="152" t="s">
        <v>350</v>
      </c>
      <c r="F142" s="90">
        <v>1</v>
      </c>
      <c r="G142" s="90">
        <v>2</v>
      </c>
      <c r="H142" s="90"/>
      <c r="I142" s="163">
        <v>897</v>
      </c>
      <c r="J142" s="155">
        <v>138.9</v>
      </c>
      <c r="K142" s="88">
        <v>37</v>
      </c>
      <c r="L142" s="89">
        <v>720</v>
      </c>
      <c r="M142" s="89"/>
      <c r="N142" s="163">
        <v>835</v>
      </c>
      <c r="O142" s="155">
        <v>175.1</v>
      </c>
      <c r="P142" s="88">
        <v>30</v>
      </c>
      <c r="Q142" s="88"/>
      <c r="R142" s="157">
        <f t="shared" si="32"/>
        <v>-0.39230599355025614</v>
      </c>
      <c r="S142" s="90">
        <v>1</v>
      </c>
      <c r="T142" s="174">
        <f t="shared" si="33"/>
        <v>-0.39720296204612926</v>
      </c>
      <c r="U142" s="174">
        <f t="shared" si="34"/>
        <v>-0.39260215553594247</v>
      </c>
      <c r="V142" s="174">
        <f t="shared" si="35"/>
        <v>-0.3499820290225773</v>
      </c>
      <c r="W142" s="21" t="s">
        <v>627</v>
      </c>
      <c r="X142" s="163"/>
      <c r="Z142" s="88"/>
      <c r="AA142" s="216">
        <v>-0.3499820290225773</v>
      </c>
      <c r="AB142" s="157"/>
      <c r="AC142" s="90"/>
      <c r="AD142" s="174"/>
      <c r="AE142" s="174"/>
      <c r="AF142" s="174"/>
    </row>
    <row r="143" spans="1:32" ht="16.5" customHeight="1" x14ac:dyDescent="0.2">
      <c r="A143" s="20" t="s">
        <v>347</v>
      </c>
      <c r="B143" s="90" t="s">
        <v>60</v>
      </c>
      <c r="C143" s="88">
        <v>2017</v>
      </c>
      <c r="D143" s="88" t="s">
        <v>627</v>
      </c>
      <c r="E143" s="152" t="s">
        <v>352</v>
      </c>
      <c r="F143" s="90">
        <v>1</v>
      </c>
      <c r="G143" s="90">
        <v>3</v>
      </c>
      <c r="H143" s="90"/>
      <c r="I143" s="163">
        <v>731</v>
      </c>
      <c r="J143" s="155">
        <v>141.80000000000001</v>
      </c>
      <c r="K143" s="88">
        <v>37</v>
      </c>
      <c r="L143" s="89">
        <v>720</v>
      </c>
      <c r="M143" s="89"/>
      <c r="N143" s="163">
        <v>617</v>
      </c>
      <c r="O143" s="155">
        <v>98.2</v>
      </c>
      <c r="P143" s="88">
        <v>30</v>
      </c>
      <c r="Q143" s="88"/>
      <c r="R143" s="157">
        <f t="shared" si="32"/>
        <v>-0.9347013299102096</v>
      </c>
      <c r="S143" s="90">
        <v>1</v>
      </c>
      <c r="T143" s="174">
        <f t="shared" si="33"/>
        <v>-0.91748649844483676</v>
      </c>
      <c r="U143" s="174">
        <f t="shared" si="34"/>
        <v>-0.90685924170609356</v>
      </c>
      <c r="V143" s="174">
        <f t="shared" si="35"/>
        <v>-1.1474494570217584</v>
      </c>
      <c r="W143" s="21" t="s">
        <v>627</v>
      </c>
      <c r="X143" s="163"/>
      <c r="Z143" s="88"/>
      <c r="AA143" s="216">
        <v>-1.1474494570217584</v>
      </c>
      <c r="AB143" s="157"/>
      <c r="AC143" s="90"/>
      <c r="AD143" s="174"/>
      <c r="AE143" s="174"/>
      <c r="AF143" s="174"/>
    </row>
    <row r="144" spans="1:32" ht="16.5" customHeight="1" x14ac:dyDescent="0.2">
      <c r="A144" s="20" t="s">
        <v>347</v>
      </c>
      <c r="B144" s="90" t="s">
        <v>60</v>
      </c>
      <c r="C144" s="88">
        <v>2017</v>
      </c>
      <c r="D144" s="88" t="s">
        <v>627</v>
      </c>
      <c r="E144" s="152" t="s">
        <v>354</v>
      </c>
      <c r="F144" s="90">
        <v>1</v>
      </c>
      <c r="G144" s="90">
        <v>4</v>
      </c>
      <c r="H144" s="90"/>
      <c r="I144" s="163">
        <v>574</v>
      </c>
      <c r="J144" s="155">
        <v>120</v>
      </c>
      <c r="K144" s="88">
        <v>37</v>
      </c>
      <c r="L144" s="89">
        <v>720</v>
      </c>
      <c r="M144" s="89"/>
      <c r="N144" s="163">
        <v>507</v>
      </c>
      <c r="O144" s="155">
        <v>93.3</v>
      </c>
      <c r="P144" s="88">
        <v>30</v>
      </c>
      <c r="Q144" s="88"/>
      <c r="R144" s="157">
        <f t="shared" si="32"/>
        <v>-0.62335844560987985</v>
      </c>
      <c r="S144" s="90">
        <v>1</v>
      </c>
      <c r="T144" s="174">
        <f t="shared" si="33"/>
        <v>-0.61524607216505411</v>
      </c>
      <c r="U144" s="174">
        <f t="shared" si="34"/>
        <v>-0.60811966978476395</v>
      </c>
      <c r="V144" s="174">
        <f t="shared" si="35"/>
        <v>-0.70979569371852336</v>
      </c>
      <c r="W144" s="21" t="s">
        <v>627</v>
      </c>
      <c r="X144" s="163"/>
      <c r="Z144" s="88"/>
      <c r="AA144" s="216">
        <v>-0.70979569371852336</v>
      </c>
      <c r="AB144" s="157"/>
      <c r="AC144" s="90"/>
      <c r="AD144" s="174"/>
      <c r="AE144" s="174"/>
      <c r="AF144" s="174"/>
    </row>
    <row r="145" spans="1:32" ht="16.5" customHeight="1" x14ac:dyDescent="0.2">
      <c r="A145" s="20" t="s">
        <v>347</v>
      </c>
      <c r="B145" s="90" t="s">
        <v>60</v>
      </c>
      <c r="C145" s="88">
        <v>2017</v>
      </c>
      <c r="D145" s="88" t="s">
        <v>627</v>
      </c>
      <c r="E145" s="152" t="s">
        <v>356</v>
      </c>
      <c r="F145" s="90">
        <v>1</v>
      </c>
      <c r="G145" s="90">
        <v>5</v>
      </c>
      <c r="H145" s="90"/>
      <c r="I145" s="163">
        <v>795</v>
      </c>
      <c r="J145" s="155">
        <v>296.7</v>
      </c>
      <c r="K145" s="88">
        <v>37</v>
      </c>
      <c r="L145" s="89">
        <v>720</v>
      </c>
      <c r="M145" s="89"/>
      <c r="N145" s="163">
        <v>604</v>
      </c>
      <c r="O145" s="155">
        <v>103.6</v>
      </c>
      <c r="P145" s="88">
        <v>30</v>
      </c>
      <c r="Q145" s="88"/>
      <c r="R145" s="157">
        <f t="shared" si="32"/>
        <v>-0.85950688414051912</v>
      </c>
      <c r="S145" s="90">
        <v>1</v>
      </c>
      <c r="T145" s="174">
        <f t="shared" si="33"/>
        <v>-0.82542471718316868</v>
      </c>
      <c r="U145" s="174">
        <f t="shared" si="34"/>
        <v>-0.81586381312313194</v>
      </c>
      <c r="V145" s="174">
        <f t="shared" si="35"/>
        <v>-1.8222745635873052</v>
      </c>
      <c r="W145" s="21" t="s">
        <v>627</v>
      </c>
      <c r="X145" s="163"/>
      <c r="Z145" s="88"/>
      <c r="AA145" s="216">
        <v>-1.8222745635873052</v>
      </c>
      <c r="AB145" s="157"/>
      <c r="AC145" s="90"/>
      <c r="AD145" s="174"/>
      <c r="AE145" s="174"/>
      <c r="AF145" s="174"/>
    </row>
    <row r="146" spans="1:32" ht="16.5" customHeight="1" x14ac:dyDescent="0.2">
      <c r="A146" s="20" t="s">
        <v>347</v>
      </c>
      <c r="B146" s="90" t="s">
        <v>106</v>
      </c>
      <c r="C146" s="88">
        <v>2011</v>
      </c>
      <c r="D146" s="88" t="s">
        <v>627</v>
      </c>
      <c r="E146" s="152" t="s">
        <v>358</v>
      </c>
      <c r="F146" s="90">
        <v>2</v>
      </c>
      <c r="G146" s="90">
        <v>6</v>
      </c>
      <c r="H146" s="90"/>
      <c r="I146" s="163">
        <v>879.9</v>
      </c>
      <c r="J146" s="155">
        <v>120.7</v>
      </c>
      <c r="K146" s="88">
        <v>9</v>
      </c>
      <c r="L146" s="89">
        <v>1140</v>
      </c>
      <c r="M146" s="89"/>
      <c r="N146" s="163">
        <v>889</v>
      </c>
      <c r="O146" s="155">
        <v>154.1</v>
      </c>
      <c r="P146" s="88">
        <v>15</v>
      </c>
      <c r="Q146" s="88"/>
      <c r="R146" s="157">
        <f t="shared" si="32"/>
        <v>6.5746142240099809E-2</v>
      </c>
      <c r="S146" s="90">
        <v>1</v>
      </c>
      <c r="T146" s="174">
        <f t="shared" si="33"/>
        <v>6.369832107915141E-2</v>
      </c>
      <c r="U146" s="174">
        <f t="shared" si="34"/>
        <v>6.150182724883585E-2</v>
      </c>
      <c r="V146" s="174">
        <f t="shared" si="35"/>
        <v>5.7016267985410429E-2</v>
      </c>
      <c r="W146" s="21" t="s">
        <v>627</v>
      </c>
      <c r="X146" s="163"/>
      <c r="Z146" s="88"/>
      <c r="AA146" s="216">
        <v>5.7016267985410429E-2</v>
      </c>
      <c r="AB146" s="157"/>
      <c r="AC146" s="90"/>
      <c r="AD146" s="174"/>
      <c r="AE146" s="174"/>
      <c r="AF146" s="174"/>
    </row>
    <row r="147" spans="1:32" ht="16.5" customHeight="1" x14ac:dyDescent="0.2">
      <c r="A147" s="20" t="s">
        <v>347</v>
      </c>
      <c r="B147" s="90" t="s">
        <v>110</v>
      </c>
      <c r="C147" s="88">
        <v>2011</v>
      </c>
      <c r="D147" s="88" t="s">
        <v>627</v>
      </c>
      <c r="E147" s="152" t="s">
        <v>358</v>
      </c>
      <c r="F147" s="90">
        <v>3</v>
      </c>
      <c r="G147" s="90">
        <v>7</v>
      </c>
      <c r="H147" s="90"/>
      <c r="I147" s="163">
        <v>863.3</v>
      </c>
      <c r="J147" s="155">
        <v>175.1</v>
      </c>
      <c r="K147" s="88">
        <v>8</v>
      </c>
      <c r="L147" s="89">
        <v>1210</v>
      </c>
      <c r="M147" s="89"/>
      <c r="N147" s="163">
        <v>838.1</v>
      </c>
      <c r="O147" s="155">
        <v>135.5</v>
      </c>
      <c r="P147" s="88">
        <v>15</v>
      </c>
      <c r="Q147" s="88"/>
      <c r="R147" s="157">
        <f t="shared" si="32"/>
        <v>-0.16096362105408038</v>
      </c>
      <c r="S147" s="90">
        <v>1</v>
      </c>
      <c r="T147" s="174">
        <f t="shared" si="33"/>
        <v>-0.16814889638061556</v>
      </c>
      <c r="U147" s="174">
        <f t="shared" si="34"/>
        <v>-0.16207122542709934</v>
      </c>
      <c r="V147" s="174">
        <f t="shared" si="35"/>
        <v>-0.17925576846129859</v>
      </c>
      <c r="W147" s="21" t="s">
        <v>627</v>
      </c>
      <c r="X147" s="163"/>
      <c r="Z147" s="88"/>
      <c r="AA147" s="216">
        <v>-0.17925576846129859</v>
      </c>
      <c r="AB147" s="157"/>
      <c r="AC147" s="90"/>
      <c r="AD147" s="174"/>
      <c r="AE147" s="174"/>
      <c r="AF147" s="174"/>
    </row>
    <row r="148" spans="1:32" ht="16.5" customHeight="1" x14ac:dyDescent="0.2">
      <c r="A148" s="20"/>
      <c r="B148" s="187"/>
      <c r="C148" s="88"/>
      <c r="D148" s="88"/>
      <c r="E148" s="152"/>
      <c r="F148" s="88"/>
      <c r="G148" s="90"/>
      <c r="H148" s="90"/>
      <c r="I148" s="163"/>
      <c r="J148" s="155"/>
      <c r="K148" s="88"/>
      <c r="L148" s="89"/>
      <c r="M148" s="89"/>
      <c r="N148" s="163"/>
      <c r="O148" s="155"/>
      <c r="P148" s="88"/>
      <c r="Q148" s="88"/>
      <c r="R148" s="157"/>
      <c r="S148" s="90"/>
      <c r="T148" s="174"/>
      <c r="U148" s="174"/>
      <c r="V148" s="174"/>
      <c r="W148" s="21"/>
      <c r="X148" s="163"/>
      <c r="Y148" s="155"/>
      <c r="Z148" s="88"/>
      <c r="AA148" s="88"/>
      <c r="AB148" s="157"/>
      <c r="AC148" s="90"/>
      <c r="AD148" s="174"/>
      <c r="AE148" s="174"/>
      <c r="AF148" s="174"/>
    </row>
    <row r="149" spans="1:32" ht="16.5" customHeight="1" x14ac:dyDescent="0.2">
      <c r="A149" s="20"/>
      <c r="B149" s="90"/>
      <c r="C149" s="88"/>
      <c r="D149" s="88"/>
      <c r="E149" s="152"/>
      <c r="F149" s="90"/>
      <c r="G149" s="90"/>
      <c r="H149" s="90"/>
      <c r="I149" s="164"/>
      <c r="J149" s="199"/>
      <c r="K149" s="90"/>
      <c r="L149" s="89"/>
      <c r="M149" s="89"/>
      <c r="N149" s="164"/>
      <c r="O149" s="199"/>
      <c r="P149" s="90"/>
      <c r="Q149" s="90"/>
      <c r="R149" s="157"/>
      <c r="S149" s="90"/>
      <c r="T149" s="174"/>
      <c r="U149" s="174"/>
      <c r="V149" s="174"/>
      <c r="W149" s="21"/>
      <c r="X149" s="164"/>
      <c r="Y149" s="199"/>
      <c r="Z149" s="90"/>
      <c r="AA149" s="90"/>
      <c r="AB149" s="157"/>
      <c r="AC149" s="90"/>
      <c r="AD149" s="174"/>
      <c r="AE149" s="174"/>
      <c r="AF149" s="174"/>
    </row>
    <row r="150" spans="1:32" ht="16.5" customHeight="1" x14ac:dyDescent="0.2">
      <c r="A150" s="20"/>
      <c r="B150" s="20"/>
      <c r="C150" s="21"/>
      <c r="D150" s="21"/>
      <c r="E150" s="22"/>
      <c r="F150" s="90"/>
      <c r="G150" s="90"/>
      <c r="H150" s="90"/>
      <c r="I150" s="164"/>
      <c r="J150" s="199"/>
      <c r="K150" s="90"/>
      <c r="L150" s="89"/>
      <c r="M150" s="89"/>
      <c r="N150" s="164"/>
      <c r="O150" s="199"/>
      <c r="P150" s="90"/>
      <c r="Q150" s="90"/>
      <c r="R150" s="157"/>
      <c r="S150" s="90"/>
      <c r="T150" s="174"/>
      <c r="U150" s="174"/>
      <c r="V150" s="174"/>
      <c r="W150" s="89"/>
      <c r="X150" s="164"/>
      <c r="Y150" s="199"/>
      <c r="Z150" s="90"/>
      <c r="AA150" s="90"/>
      <c r="AB150" s="157"/>
      <c r="AC150" s="90"/>
      <c r="AD150" s="174"/>
      <c r="AE150" s="174"/>
      <c r="AF150" s="174"/>
    </row>
    <row r="152" spans="1:32" ht="16.5" customHeight="1" x14ac:dyDescent="0.25">
      <c r="A152"/>
      <c r="B152"/>
      <c r="C152"/>
      <c r="D152" t="s">
        <v>643</v>
      </c>
      <c r="E152" t="s">
        <v>644</v>
      </c>
      <c r="F152" t="s">
        <v>441</v>
      </c>
      <c r="G152" t="s">
        <v>645</v>
      </c>
      <c r="H152" t="s">
        <v>646</v>
      </c>
      <c r="I152" t="s">
        <v>647</v>
      </c>
    </row>
    <row r="153" spans="1:32" ht="16.5" customHeight="1" x14ac:dyDescent="0.25">
      <c r="A153" t="s">
        <v>648</v>
      </c>
      <c r="B153" t="s">
        <v>649</v>
      </c>
      <c r="C153" t="s">
        <v>650</v>
      </c>
      <c r="D153">
        <v>99.28</v>
      </c>
      <c r="E153">
        <v>1.59</v>
      </c>
      <c r="F153">
        <v>45</v>
      </c>
      <c r="G153">
        <f>E153/SQRT(F153)</f>
        <v>0.23702320561497769</v>
      </c>
      <c r="H153">
        <f>D154-D153</f>
        <v>-2.0600000000000023</v>
      </c>
      <c r="I153">
        <f>SQRT(G153^2 + G154^2)</f>
        <v>0.48259714048054608</v>
      </c>
    </row>
    <row r="154" spans="1:32" ht="16.5" customHeight="1" x14ac:dyDescent="0.25">
      <c r="A154"/>
      <c r="B154"/>
      <c r="C154" t="s">
        <v>651</v>
      </c>
      <c r="D154">
        <v>97.22</v>
      </c>
      <c r="E154">
        <v>2.82</v>
      </c>
      <c r="F154">
        <v>45</v>
      </c>
      <c r="G154">
        <f t="shared" ref="G154:G158" si="36">E154/SQRT(F154)</f>
        <v>0.42038077976996041</v>
      </c>
      <c r="H154"/>
      <c r="I154"/>
    </row>
    <row r="155" spans="1:32" ht="16.5" customHeight="1" x14ac:dyDescent="0.25">
      <c r="A155"/>
      <c r="B155" t="s">
        <v>652</v>
      </c>
      <c r="C155" t="s">
        <v>650</v>
      </c>
      <c r="D155">
        <v>98</v>
      </c>
      <c r="E155">
        <v>1.57</v>
      </c>
      <c r="F155">
        <v>25</v>
      </c>
      <c r="G155">
        <f t="shared" si="36"/>
        <v>0.314</v>
      </c>
      <c r="H155">
        <f>D156-D155</f>
        <v>-0.95000000000000284</v>
      </c>
      <c r="I155">
        <f>SQRT(G155^2 + G156^2)</f>
        <v>0.5536533211315543</v>
      </c>
    </row>
    <row r="156" spans="1:32" ht="16.5" customHeight="1" x14ac:dyDescent="0.25">
      <c r="A156"/>
      <c r="B156"/>
      <c r="C156" t="s">
        <v>651</v>
      </c>
      <c r="D156">
        <v>97.05</v>
      </c>
      <c r="E156">
        <v>2.2799999999999998</v>
      </c>
      <c r="F156">
        <v>25</v>
      </c>
      <c r="G156">
        <f t="shared" si="36"/>
        <v>0.45599999999999996</v>
      </c>
      <c r="H156"/>
      <c r="I156"/>
    </row>
    <row r="157" spans="1:32" ht="16.5" customHeight="1" x14ac:dyDescent="0.25">
      <c r="A157"/>
      <c r="B157" t="s">
        <v>653</v>
      </c>
      <c r="C157" t="s">
        <v>650</v>
      </c>
      <c r="D157">
        <v>99.35</v>
      </c>
      <c r="E157">
        <v>1.03</v>
      </c>
      <c r="F157">
        <v>25</v>
      </c>
      <c r="G157">
        <f t="shared" si="36"/>
        <v>0.20600000000000002</v>
      </c>
      <c r="H157">
        <f>D158-D157</f>
        <v>-1.6999999999999886</v>
      </c>
      <c r="I157">
        <f>SQRT(G157^2 + G158^2)</f>
        <v>0.71243245293852253</v>
      </c>
    </row>
    <row r="158" spans="1:32" ht="16.5" customHeight="1" x14ac:dyDescent="0.25">
      <c r="A158"/>
      <c r="B158"/>
      <c r="C158" t="s">
        <v>651</v>
      </c>
      <c r="D158">
        <v>97.65</v>
      </c>
      <c r="E158">
        <v>3.41</v>
      </c>
      <c r="F158">
        <v>25</v>
      </c>
      <c r="G158">
        <f t="shared" si="36"/>
        <v>0.68200000000000005</v>
      </c>
      <c r="H158"/>
      <c r="I158"/>
    </row>
  </sheetData>
  <mergeCells count="4">
    <mergeCell ref="A2:C2"/>
    <mergeCell ref="I3:K3"/>
    <mergeCell ref="N3:P3"/>
    <mergeCell ref="R3:V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3CF9C-7654-4473-B239-FA3C3B9B5F7A}">
  <dimension ref="A1:BB307"/>
  <sheetViews>
    <sheetView zoomScale="82" zoomScaleNormal="82" workbookViewId="0">
      <pane xSplit="1" ySplit="4" topLeftCell="B229" activePane="bottomRight" state="frozen"/>
      <selection pane="topRight" activeCell="B1" sqref="B1"/>
      <selection pane="bottomLeft" activeCell="A4" sqref="A4"/>
      <selection pane="bottomRight" activeCell="F4" sqref="F4"/>
    </sheetView>
  </sheetViews>
  <sheetFormatPr defaultColWidth="27" defaultRowHeight="18.75" customHeight="1" x14ac:dyDescent="0.25"/>
  <cols>
    <col min="1" max="1" width="24.7109375" style="8" customWidth="1"/>
    <col min="2" max="2" width="23.85546875" style="21" customWidth="1"/>
    <col min="3" max="3" width="6.7109375" style="8" customWidth="1"/>
    <col min="4" max="4" width="30" style="53" customWidth="1"/>
    <col min="5" max="5" width="31" style="29" customWidth="1"/>
    <col min="6" max="6" width="8.42578125" style="8" customWidth="1"/>
    <col min="7" max="7" width="7.42578125" style="8" customWidth="1"/>
    <col min="8" max="8" width="3.7109375" style="8" customWidth="1"/>
    <col min="9" max="9" width="6.7109375" style="8" customWidth="1"/>
    <col min="10" max="10" width="8" style="62" customWidth="1"/>
    <col min="11" max="11" width="5.7109375" style="8" customWidth="1"/>
    <col min="12" max="12" width="9.42578125" style="29" customWidth="1"/>
    <col min="13" max="13" width="1.140625" style="29" customWidth="1"/>
    <col min="14" max="14" width="8.42578125" style="8" customWidth="1"/>
    <col min="15" max="15" width="7.42578125" style="62" customWidth="1"/>
    <col min="16" max="16" width="5.7109375" style="8" customWidth="1"/>
    <col min="17" max="17" width="5" style="8" customWidth="1"/>
    <col min="18" max="18" width="10.140625" style="8" customWidth="1"/>
    <col min="19" max="19" width="5.7109375" style="8" customWidth="1"/>
    <col min="20" max="20" width="10.140625" style="8" customWidth="1"/>
    <col min="21" max="21" width="7.42578125" style="8" customWidth="1"/>
    <col min="22" max="22" width="11" style="8" customWidth="1"/>
    <col min="23" max="23" width="0.42578125" hidden="1" customWidth="1"/>
    <col min="24" max="24" width="5.42578125" style="29" customWidth="1"/>
    <col min="25" max="25" width="17.28515625" style="29" hidden="1" customWidth="1"/>
    <col min="26" max="26" width="13.42578125" style="8" customWidth="1"/>
    <col min="27" max="27" width="29.28515625" style="8" customWidth="1"/>
    <col min="28" max="16384" width="27" style="8"/>
  </cols>
  <sheetData>
    <row r="1" spans="1:54" ht="18.75" customHeight="1" x14ac:dyDescent="0.25">
      <c r="A1" s="133" t="s">
        <v>562</v>
      </c>
    </row>
    <row r="2" spans="1:54" ht="18.75" customHeight="1" x14ac:dyDescent="0.25">
      <c r="F2" s="29"/>
    </row>
    <row r="3" spans="1:54" ht="18.75" customHeight="1" x14ac:dyDescent="0.2">
      <c r="A3" s="1"/>
      <c r="B3" s="1"/>
      <c r="C3" s="1"/>
      <c r="D3" s="2"/>
      <c r="E3" s="3"/>
      <c r="F3" s="1"/>
      <c r="G3" s="1"/>
      <c r="H3" s="1"/>
      <c r="I3" s="290" t="s">
        <v>0</v>
      </c>
      <c r="J3" s="290"/>
      <c r="K3" s="290"/>
      <c r="L3" s="3"/>
      <c r="M3" s="3"/>
      <c r="N3" s="291" t="s">
        <v>1</v>
      </c>
      <c r="O3" s="291"/>
      <c r="P3" s="291"/>
      <c r="Q3" s="4"/>
      <c r="R3" s="291" t="s">
        <v>2</v>
      </c>
      <c r="S3" s="291"/>
      <c r="T3" s="291"/>
      <c r="U3" s="291"/>
      <c r="V3" s="291"/>
      <c r="W3" s="5"/>
      <c r="X3" s="3"/>
      <c r="Y3" s="6"/>
      <c r="Z3" s="7"/>
    </row>
    <row r="4" spans="1:54" s="19" customFormat="1" ht="27.75" customHeight="1" thickBot="1" x14ac:dyDescent="0.25">
      <c r="A4" s="9" t="s">
        <v>3</v>
      </c>
      <c r="B4" s="9" t="s">
        <v>4</v>
      </c>
      <c r="C4" s="9" t="s">
        <v>5</v>
      </c>
      <c r="D4" s="10" t="s">
        <v>6</v>
      </c>
      <c r="E4" s="11" t="s">
        <v>7</v>
      </c>
      <c r="F4" s="12" t="s">
        <v>8</v>
      </c>
      <c r="G4" s="12" t="s">
        <v>9</v>
      </c>
      <c r="H4" s="13"/>
      <c r="I4" s="14" t="s">
        <v>10</v>
      </c>
      <c r="J4" s="15" t="s">
        <v>11</v>
      </c>
      <c r="K4" s="14" t="s">
        <v>12</v>
      </c>
      <c r="L4" s="14" t="s">
        <v>13</v>
      </c>
      <c r="M4" s="13"/>
      <c r="N4" s="14" t="s">
        <v>10</v>
      </c>
      <c r="O4" s="15" t="s">
        <v>11</v>
      </c>
      <c r="P4" s="14" t="s">
        <v>12</v>
      </c>
      <c r="Q4" s="13"/>
      <c r="R4" s="14" t="s">
        <v>14</v>
      </c>
      <c r="S4" s="13"/>
      <c r="T4" s="14" t="s">
        <v>15</v>
      </c>
      <c r="U4" s="14" t="s">
        <v>16</v>
      </c>
      <c r="V4" s="14" t="s">
        <v>17</v>
      </c>
      <c r="W4" s="16"/>
      <c r="X4" s="12" t="s">
        <v>18</v>
      </c>
      <c r="Y4" s="17" t="s">
        <v>18</v>
      </c>
      <c r="Z4" s="17" t="s">
        <v>19</v>
      </c>
      <c r="AA4" s="18" t="s">
        <v>18</v>
      </c>
      <c r="AK4" s="19" t="s">
        <v>10</v>
      </c>
      <c r="AL4" s="19" t="s">
        <v>11</v>
      </c>
      <c r="AM4" s="19" t="s">
        <v>20</v>
      </c>
      <c r="AO4" s="19" t="s">
        <v>21</v>
      </c>
      <c r="AQ4" s="19" t="s">
        <v>22</v>
      </c>
      <c r="AR4" s="19" t="s">
        <v>23</v>
      </c>
      <c r="AS4" s="19" t="s">
        <v>24</v>
      </c>
      <c r="AU4" s="19" t="s">
        <v>25</v>
      </c>
      <c r="BA4" s="19" t="s">
        <v>26</v>
      </c>
    </row>
    <row r="5" spans="1:54" ht="18.75" customHeight="1" x14ac:dyDescent="0.2">
      <c r="A5" s="20" t="s">
        <v>27</v>
      </c>
      <c r="B5" s="98" t="s">
        <v>546</v>
      </c>
      <c r="C5" s="21">
        <v>2021</v>
      </c>
      <c r="D5" s="22" t="s">
        <v>29</v>
      </c>
      <c r="E5" s="23" t="s">
        <v>554</v>
      </c>
      <c r="F5" s="21">
        <v>1</v>
      </c>
      <c r="G5" s="20">
        <v>1</v>
      </c>
      <c r="H5" s="20"/>
      <c r="I5" s="109" t="s">
        <v>75</v>
      </c>
      <c r="J5" s="109" t="s">
        <v>75</v>
      </c>
      <c r="K5" s="21">
        <v>150</v>
      </c>
      <c r="L5" s="89">
        <v>908</v>
      </c>
      <c r="M5" s="26"/>
      <c r="N5" s="109" t="s">
        <v>75</v>
      </c>
      <c r="O5" s="109" t="s">
        <v>75</v>
      </c>
      <c r="P5" s="21">
        <v>76</v>
      </c>
      <c r="Q5" s="21"/>
      <c r="R5" s="42" t="s">
        <v>75</v>
      </c>
      <c r="S5" s="20"/>
      <c r="T5" s="42" t="s">
        <v>75</v>
      </c>
      <c r="U5" s="42" t="s">
        <v>75</v>
      </c>
      <c r="V5" s="23">
        <v>-0.44</v>
      </c>
      <c r="W5" s="28"/>
      <c r="X5" s="20">
        <v>1</v>
      </c>
      <c r="Z5" s="42" t="s">
        <v>44</v>
      </c>
    </row>
    <row r="6" spans="1:54" ht="18.75" customHeight="1" x14ac:dyDescent="0.2">
      <c r="A6" s="20" t="s">
        <v>27</v>
      </c>
      <c r="B6" s="98" t="s">
        <v>546</v>
      </c>
      <c r="C6" s="21">
        <v>2021</v>
      </c>
      <c r="D6" s="22" t="s">
        <v>49</v>
      </c>
      <c r="E6" s="23" t="s">
        <v>553</v>
      </c>
      <c r="F6" s="21">
        <v>1</v>
      </c>
      <c r="G6" s="20">
        <v>2</v>
      </c>
      <c r="H6" s="20"/>
      <c r="I6" s="109" t="s">
        <v>75</v>
      </c>
      <c r="J6" s="109" t="s">
        <v>75</v>
      </c>
      <c r="K6" s="21">
        <v>150</v>
      </c>
      <c r="L6" s="89">
        <v>908</v>
      </c>
      <c r="M6" s="26"/>
      <c r="N6" s="109" t="s">
        <v>75</v>
      </c>
      <c r="O6" s="109" t="s">
        <v>75</v>
      </c>
      <c r="P6" s="21">
        <v>76</v>
      </c>
      <c r="Q6" s="21"/>
      <c r="R6" s="109" t="s">
        <v>75</v>
      </c>
      <c r="S6" s="20"/>
      <c r="T6" s="109" t="s">
        <v>75</v>
      </c>
      <c r="U6" s="109" t="s">
        <v>75</v>
      </c>
      <c r="V6" s="23">
        <v>7.0000000000000007E-2</v>
      </c>
      <c r="W6" s="28"/>
      <c r="X6" s="20">
        <v>1</v>
      </c>
      <c r="Z6" s="42" t="s">
        <v>44</v>
      </c>
    </row>
    <row r="7" spans="1:54" ht="18.75" customHeight="1" x14ac:dyDescent="0.2">
      <c r="A7" s="20" t="s">
        <v>27</v>
      </c>
      <c r="B7" s="98" t="s">
        <v>546</v>
      </c>
      <c r="C7" s="21">
        <v>2021</v>
      </c>
      <c r="D7" s="28" t="s">
        <v>555</v>
      </c>
      <c r="E7" s="132" t="s">
        <v>555</v>
      </c>
      <c r="F7" s="21">
        <v>1</v>
      </c>
      <c r="G7" s="20">
        <v>3</v>
      </c>
      <c r="H7" s="20"/>
      <c r="I7" s="109" t="s">
        <v>75</v>
      </c>
      <c r="J7" s="109" t="s">
        <v>75</v>
      </c>
      <c r="K7" s="21">
        <v>152</v>
      </c>
      <c r="L7" s="89">
        <v>908</v>
      </c>
      <c r="M7" s="26"/>
      <c r="N7" s="109" t="s">
        <v>75</v>
      </c>
      <c r="O7" s="109" t="s">
        <v>75</v>
      </c>
      <c r="P7" s="21">
        <v>76</v>
      </c>
      <c r="Q7" s="21"/>
      <c r="R7" s="109" t="s">
        <v>75</v>
      </c>
      <c r="S7" s="20"/>
      <c r="T7" s="109" t="s">
        <v>75</v>
      </c>
      <c r="U7" s="109" t="s">
        <v>75</v>
      </c>
      <c r="V7" s="23">
        <v>-0.26</v>
      </c>
      <c r="W7" s="28"/>
      <c r="X7" s="20">
        <v>1</v>
      </c>
      <c r="Z7" s="42" t="s">
        <v>44</v>
      </c>
    </row>
    <row r="8" spans="1:54" ht="18.75" customHeight="1" x14ac:dyDescent="0.2">
      <c r="A8" s="20" t="s">
        <v>27</v>
      </c>
      <c r="B8" s="98" t="s">
        <v>552</v>
      </c>
      <c r="C8" s="21">
        <v>2022</v>
      </c>
      <c r="D8" s="28" t="s">
        <v>556</v>
      </c>
      <c r="E8" s="132" t="s">
        <v>557</v>
      </c>
      <c r="F8" s="21">
        <v>1</v>
      </c>
      <c r="G8" s="20">
        <v>4</v>
      </c>
      <c r="H8" s="20"/>
      <c r="I8" s="109" t="s">
        <v>75</v>
      </c>
      <c r="J8" s="109" t="s">
        <v>75</v>
      </c>
      <c r="K8" s="21">
        <v>152</v>
      </c>
      <c r="L8" s="89">
        <v>908</v>
      </c>
      <c r="M8" s="26"/>
      <c r="N8" s="109" t="s">
        <v>75</v>
      </c>
      <c r="O8" s="109" t="s">
        <v>75</v>
      </c>
      <c r="P8" s="21">
        <v>77</v>
      </c>
      <c r="Q8" s="21"/>
      <c r="R8" s="109"/>
      <c r="S8" s="20"/>
      <c r="T8" s="109"/>
      <c r="U8" s="109"/>
      <c r="V8" s="23">
        <v>-0.61</v>
      </c>
      <c r="W8" s="28"/>
      <c r="X8" s="20">
        <v>1</v>
      </c>
      <c r="Z8" s="42" t="s">
        <v>44</v>
      </c>
    </row>
    <row r="9" spans="1:54" s="131" customFormat="1" ht="18.75" customHeight="1" x14ac:dyDescent="0.2">
      <c r="A9" s="121" t="s">
        <v>27</v>
      </c>
      <c r="B9" s="121" t="s">
        <v>28</v>
      </c>
      <c r="C9" s="122">
        <v>2004</v>
      </c>
      <c r="D9" s="123" t="s">
        <v>29</v>
      </c>
      <c r="E9" s="124" t="s">
        <v>30</v>
      </c>
      <c r="F9" s="121">
        <v>2</v>
      </c>
      <c r="G9" s="20">
        <v>5</v>
      </c>
      <c r="H9" s="121"/>
      <c r="I9" s="125">
        <v>8.01</v>
      </c>
      <c r="J9" s="126">
        <v>1.64</v>
      </c>
      <c r="K9" s="122">
        <v>20</v>
      </c>
      <c r="L9" s="127">
        <v>858.5</v>
      </c>
      <c r="M9" s="127"/>
      <c r="N9" s="125">
        <v>9.76</v>
      </c>
      <c r="O9" s="126">
        <v>2.5299999999999998</v>
      </c>
      <c r="P9" s="122">
        <v>20</v>
      </c>
      <c r="Q9" s="121"/>
      <c r="R9" s="128">
        <f>(N9-I9)/SQRT((O9^2+J9^2)/2)</f>
        <v>0.82084122710449015</v>
      </c>
      <c r="S9" s="121">
        <v>-1</v>
      </c>
      <c r="T9" s="124">
        <f>(N9-I9)/SQRT((((P9-1)*O9^2) + ((K9-1)*J9^2))/(P9+K9-2))*S9</f>
        <v>-0.82084122710449015</v>
      </c>
      <c r="U9" s="124">
        <f>T9*(1-(3/(4*(K9+P9-2) -1)))</f>
        <v>-0.80453312325473203</v>
      </c>
      <c r="V9" s="124">
        <f t="shared" ref="V9:V42" si="0">((N9-I9)/O9)*S9 * (1-(3/(4*(K9+P9-2)-1)))</f>
        <v>-0.67795722848990914</v>
      </c>
      <c r="W9" s="129"/>
      <c r="X9" s="121">
        <v>2</v>
      </c>
      <c r="Y9" s="130" t="s">
        <v>31</v>
      </c>
      <c r="Z9" s="131" t="s">
        <v>32</v>
      </c>
      <c r="AA9" s="130" t="s">
        <v>31</v>
      </c>
      <c r="AK9" s="131">
        <v>-9.8000000000000007</v>
      </c>
      <c r="AL9" s="131">
        <v>2.5</v>
      </c>
      <c r="AM9" s="131">
        <v>20</v>
      </c>
      <c r="BA9" s="131" t="s">
        <v>28</v>
      </c>
      <c r="BB9" s="131">
        <v>1</v>
      </c>
    </row>
    <row r="10" spans="1:54" ht="18.75" customHeight="1" x14ac:dyDescent="0.2">
      <c r="A10" s="20" t="s">
        <v>27</v>
      </c>
      <c r="B10" s="20" t="s">
        <v>33</v>
      </c>
      <c r="C10" s="21">
        <v>2005</v>
      </c>
      <c r="D10" s="22" t="s">
        <v>34</v>
      </c>
      <c r="E10" s="23" t="s">
        <v>35</v>
      </c>
      <c r="F10" s="20">
        <v>3</v>
      </c>
      <c r="G10" s="20">
        <v>6</v>
      </c>
      <c r="H10" s="20"/>
      <c r="I10" s="24">
        <v>66.48</v>
      </c>
      <c r="J10" s="25">
        <v>15.75</v>
      </c>
      <c r="K10" s="21">
        <v>25</v>
      </c>
      <c r="L10" s="26">
        <v>758.79</v>
      </c>
      <c r="M10" s="26"/>
      <c r="N10" s="24">
        <v>67.599999999999994</v>
      </c>
      <c r="O10" s="25">
        <v>16.690000000000001</v>
      </c>
      <c r="P10" s="21">
        <v>25</v>
      </c>
      <c r="Q10" s="20"/>
      <c r="R10" s="27">
        <f t="shared" ref="R10:R42" si="1">(N10-I10)/SQRT((O10^2+J10^2)/2)</f>
        <v>6.9021584249196799E-2</v>
      </c>
      <c r="S10" s="20">
        <v>-1</v>
      </c>
      <c r="T10" s="23">
        <f t="shared" ref="T10:T42" si="2">(N10-I10)/SQRT((((P10-1)*O10^2) + ((K10-1)*J10^2))/(P10+K10-2))*S10</f>
        <v>-6.9021584249196799E-2</v>
      </c>
      <c r="U10" s="23">
        <f t="shared" ref="U10:U42" si="3">T10*(1-(3/(4*(K10+P10-2) -1)))</f>
        <v>-6.7937475596068053E-2</v>
      </c>
      <c r="V10" s="23">
        <f t="shared" si="0"/>
        <v>-6.6052029776113907E-2</v>
      </c>
      <c r="W10" s="28"/>
      <c r="X10" s="20">
        <v>2</v>
      </c>
      <c r="Y10" s="29" t="s">
        <v>31</v>
      </c>
      <c r="Z10" s="8" t="s">
        <v>32</v>
      </c>
      <c r="AA10" s="29" t="s">
        <v>31</v>
      </c>
      <c r="AK10" s="8">
        <v>-67.599999999999994</v>
      </c>
      <c r="AL10" s="8">
        <v>16.7</v>
      </c>
      <c r="AM10" s="8">
        <v>25</v>
      </c>
      <c r="BA10" s="8" t="s">
        <v>33</v>
      </c>
      <c r="BB10" s="8">
        <v>2</v>
      </c>
    </row>
    <row r="11" spans="1:54" ht="18.75" customHeight="1" x14ac:dyDescent="0.2">
      <c r="A11" s="20" t="s">
        <v>27</v>
      </c>
      <c r="B11" s="20" t="s">
        <v>33</v>
      </c>
      <c r="C11" s="21">
        <v>2005</v>
      </c>
      <c r="D11" s="22" t="s">
        <v>36</v>
      </c>
      <c r="E11" s="23" t="s">
        <v>37</v>
      </c>
      <c r="F11" s="20">
        <v>3</v>
      </c>
      <c r="G11" s="20">
        <v>7</v>
      </c>
      <c r="H11" s="20"/>
      <c r="I11" s="24">
        <v>0.88</v>
      </c>
      <c r="J11" s="25">
        <v>0.3</v>
      </c>
      <c r="K11" s="21">
        <v>25</v>
      </c>
      <c r="L11" s="26">
        <v>758.79</v>
      </c>
      <c r="M11" s="26"/>
      <c r="N11" s="24">
        <v>0.77</v>
      </c>
      <c r="O11" s="25">
        <v>0.42</v>
      </c>
      <c r="P11" s="21">
        <v>25</v>
      </c>
      <c r="Q11" s="20"/>
      <c r="R11" s="27">
        <f t="shared" si="1"/>
        <v>-0.30139814339315502</v>
      </c>
      <c r="S11" s="20">
        <v>1</v>
      </c>
      <c r="T11" s="23">
        <f t="shared" si="2"/>
        <v>-0.30139814339315502</v>
      </c>
      <c r="U11" s="23">
        <f t="shared" si="3"/>
        <v>-0.2966641411409065</v>
      </c>
      <c r="V11" s="23">
        <f t="shared" si="0"/>
        <v>-0.25779107454500122</v>
      </c>
      <c r="W11" s="28"/>
      <c r="X11" s="20">
        <v>2</v>
      </c>
      <c r="Y11" s="29" t="s">
        <v>31</v>
      </c>
      <c r="Z11" s="8" t="s">
        <v>32</v>
      </c>
      <c r="AA11" s="29" t="s">
        <v>31</v>
      </c>
      <c r="AK11" s="8">
        <v>0.8</v>
      </c>
      <c r="AL11" s="8">
        <v>0.4</v>
      </c>
      <c r="AM11" s="8">
        <v>25</v>
      </c>
      <c r="BA11" s="8" t="s">
        <v>33</v>
      </c>
      <c r="BB11" s="8">
        <v>3</v>
      </c>
    </row>
    <row r="12" spans="1:54" ht="18.75" customHeight="1" x14ac:dyDescent="0.2">
      <c r="A12" s="20" t="s">
        <v>27</v>
      </c>
      <c r="B12" s="20" t="s">
        <v>38</v>
      </c>
      <c r="C12" s="21">
        <v>2007</v>
      </c>
      <c r="D12" s="22" t="s">
        <v>34</v>
      </c>
      <c r="E12" s="23" t="s">
        <v>39</v>
      </c>
      <c r="F12" s="20">
        <v>4</v>
      </c>
      <c r="G12" s="20">
        <v>8</v>
      </c>
      <c r="H12" s="20"/>
      <c r="I12" s="24">
        <v>60.24</v>
      </c>
      <c r="J12" s="25">
        <v>17.75</v>
      </c>
      <c r="K12" s="21">
        <v>25</v>
      </c>
      <c r="L12" s="26">
        <v>1285.68</v>
      </c>
      <c r="M12" s="26"/>
      <c r="N12" s="24">
        <v>66.040000000000006</v>
      </c>
      <c r="O12" s="25">
        <v>16.399999999999999</v>
      </c>
      <c r="P12" s="21">
        <v>45</v>
      </c>
      <c r="Q12" s="20"/>
      <c r="R12" s="27">
        <f t="shared" si="1"/>
        <v>0.33941278858608348</v>
      </c>
      <c r="S12" s="20">
        <v>-1</v>
      </c>
      <c r="T12" s="23">
        <f t="shared" si="2"/>
        <v>-0.3434229172217676</v>
      </c>
      <c r="U12" s="23">
        <f t="shared" si="3"/>
        <v>-0.33962118751082554</v>
      </c>
      <c r="V12" s="23">
        <f t="shared" si="0"/>
        <v>-0.34974349743497468</v>
      </c>
      <c r="W12" s="28"/>
      <c r="X12" s="20">
        <v>2</v>
      </c>
      <c r="Y12" s="29" t="s">
        <v>31</v>
      </c>
      <c r="Z12" s="8" t="s">
        <v>32</v>
      </c>
      <c r="AA12" s="29" t="s">
        <v>31</v>
      </c>
      <c r="AK12" s="8">
        <v>-66</v>
      </c>
      <c r="AL12" s="8">
        <v>16.399999999999999</v>
      </c>
      <c r="AM12" s="8">
        <v>45</v>
      </c>
      <c r="BA12" s="8" t="s">
        <v>38</v>
      </c>
      <c r="BB12" s="8">
        <v>4</v>
      </c>
    </row>
    <row r="13" spans="1:54" ht="18.75" customHeight="1" x14ac:dyDescent="0.2">
      <c r="A13" s="20" t="s">
        <v>27</v>
      </c>
      <c r="B13" s="20" t="s">
        <v>38</v>
      </c>
      <c r="C13" s="21">
        <v>2007</v>
      </c>
      <c r="D13" s="22" t="s">
        <v>36</v>
      </c>
      <c r="E13" s="23" t="s">
        <v>40</v>
      </c>
      <c r="F13" s="20">
        <v>4</v>
      </c>
      <c r="G13" s="20">
        <v>9</v>
      </c>
      <c r="H13" s="20"/>
      <c r="I13" s="24">
        <v>0.92</v>
      </c>
      <c r="J13" s="25">
        <v>0.35</v>
      </c>
      <c r="K13" s="21">
        <v>25</v>
      </c>
      <c r="L13" s="26">
        <v>1285.68</v>
      </c>
      <c r="M13" s="26"/>
      <c r="N13" s="24">
        <v>0.76</v>
      </c>
      <c r="O13" s="25">
        <v>16.399999999999999</v>
      </c>
      <c r="P13" s="21">
        <v>45</v>
      </c>
      <c r="Q13" s="20"/>
      <c r="R13" s="27">
        <f t="shared" si="1"/>
        <v>-1.379406453522793E-2</v>
      </c>
      <c r="S13" s="20">
        <v>1</v>
      </c>
      <c r="T13" s="23">
        <f t="shared" si="2"/>
        <v>-1.2126914431586335E-2</v>
      </c>
      <c r="U13" s="23">
        <f t="shared" si="3"/>
        <v>-1.1992668146365822E-2</v>
      </c>
      <c r="V13" s="23">
        <f t="shared" si="0"/>
        <v>-9.6480964809648132E-3</v>
      </c>
      <c r="W13" s="28"/>
      <c r="X13" s="20">
        <v>2</v>
      </c>
      <c r="Y13" s="29" t="s">
        <v>31</v>
      </c>
      <c r="Z13" s="8" t="s">
        <v>32</v>
      </c>
      <c r="AA13" s="29" t="s">
        <v>31</v>
      </c>
      <c r="AK13" s="8">
        <v>0.8</v>
      </c>
      <c r="AL13" s="8">
        <v>16.399999999999999</v>
      </c>
      <c r="AM13" s="8">
        <v>45</v>
      </c>
      <c r="BA13" s="8" t="s">
        <v>38</v>
      </c>
      <c r="BB13" s="8">
        <v>5</v>
      </c>
    </row>
    <row r="14" spans="1:54" ht="18.75" customHeight="1" x14ac:dyDescent="0.2">
      <c r="A14" s="20" t="s">
        <v>27</v>
      </c>
      <c r="B14" s="149" t="s">
        <v>590</v>
      </c>
      <c r="C14" s="21">
        <v>2014</v>
      </c>
      <c r="D14" s="22" t="s">
        <v>54</v>
      </c>
      <c r="E14" s="96" t="s">
        <v>592</v>
      </c>
      <c r="F14" s="21">
        <v>10</v>
      </c>
      <c r="G14" s="20">
        <v>10</v>
      </c>
      <c r="H14" s="20"/>
      <c r="I14" s="24">
        <v>99.1</v>
      </c>
      <c r="J14" s="25">
        <v>15.2</v>
      </c>
      <c r="K14" s="21">
        <v>9</v>
      </c>
      <c r="L14" s="26">
        <v>697.9</v>
      </c>
      <c r="M14" s="30"/>
      <c r="N14" s="24">
        <v>100</v>
      </c>
      <c r="O14" s="25">
        <v>15</v>
      </c>
      <c r="P14" s="21">
        <v>20</v>
      </c>
      <c r="Q14" s="20"/>
      <c r="R14" s="94">
        <f>(N14-I14)/SQRT((O14^2+J14^2)/2)</f>
        <v>5.9601342031302712E-2</v>
      </c>
      <c r="S14" s="20">
        <v>1</v>
      </c>
      <c r="T14" s="150">
        <f>(N14-I14)/SQRT((((P14-1)*O14^2) + ((K14-1)*J14^2))/(P14+K14-2))*S14</f>
        <v>5.97627968014246E-2</v>
      </c>
      <c r="U14" s="150">
        <f>T14*(1-(3/(4*(K14+P14-2) -1)))</f>
        <v>5.80872043677398E-2</v>
      </c>
      <c r="V14" s="150">
        <f>((N14-I14)/O14)*S14 * (1-(3/(4*(K14+P14-2)-1)))</f>
        <v>5.8317757009346161E-2</v>
      </c>
      <c r="W14" s="28"/>
      <c r="X14" s="20"/>
      <c r="AA14" s="29"/>
    </row>
    <row r="15" spans="1:54" ht="18.75" customHeight="1" x14ac:dyDescent="0.2">
      <c r="A15" s="20" t="s">
        <v>27</v>
      </c>
      <c r="B15" s="149" t="s">
        <v>594</v>
      </c>
      <c r="C15" s="21">
        <v>2015</v>
      </c>
      <c r="D15" s="22" t="s">
        <v>596</v>
      </c>
      <c r="E15" s="96" t="s">
        <v>592</v>
      </c>
      <c r="F15" s="20"/>
      <c r="G15" s="20">
        <v>11</v>
      </c>
      <c r="H15" s="20"/>
      <c r="I15" s="24">
        <v>103.2</v>
      </c>
      <c r="J15" s="25">
        <v>15.3</v>
      </c>
      <c r="K15" s="21">
        <v>9</v>
      </c>
      <c r="L15" s="26">
        <v>697.9</v>
      </c>
      <c r="M15" s="30"/>
      <c r="N15" s="24">
        <v>100</v>
      </c>
      <c r="O15" s="25">
        <v>15</v>
      </c>
      <c r="P15" s="21">
        <v>20</v>
      </c>
      <c r="Q15" s="20"/>
      <c r="R15" s="94">
        <f>(N15-I15)/SQRT((O15^2+J15^2)/2)</f>
        <v>-0.2112107699117439</v>
      </c>
      <c r="S15" s="20">
        <v>-1</v>
      </c>
      <c r="T15" s="150">
        <f>(N15-I15)/SQRT((((P15-1)*O15^2) + ((K15-1)*J15^2))/(P15+K15-2))*S15</f>
        <v>0.21206784384466737</v>
      </c>
      <c r="U15" s="150">
        <f>T15*(1-(3/(4*(K15+P15-2) -1)))</f>
        <v>0.20612201644715333</v>
      </c>
      <c r="V15" s="150">
        <f>((N15-I15)/O15)*S15 * (1-(3/(4*(K15+P15-2)-1)))</f>
        <v>0.20735202492211854</v>
      </c>
      <c r="W15" s="28"/>
      <c r="X15" s="20"/>
      <c r="AA15" s="29"/>
    </row>
    <row r="16" spans="1:54" ht="18.75" customHeight="1" x14ac:dyDescent="0.2">
      <c r="A16" s="20" t="s">
        <v>27</v>
      </c>
      <c r="B16" s="135" t="s">
        <v>509</v>
      </c>
      <c r="C16" s="21">
        <v>2021</v>
      </c>
      <c r="D16" s="22" t="s">
        <v>42</v>
      </c>
      <c r="E16" s="23" t="s">
        <v>43</v>
      </c>
      <c r="F16" s="20">
        <v>8</v>
      </c>
      <c r="G16" s="20">
        <v>12</v>
      </c>
      <c r="H16" s="20"/>
      <c r="I16" s="24">
        <v>16</v>
      </c>
      <c r="J16" s="25">
        <f>(23-13)/1.35</f>
        <v>7.4074074074074066</v>
      </c>
      <c r="K16" s="21">
        <v>19</v>
      </c>
      <c r="L16" s="26">
        <v>890</v>
      </c>
      <c r="M16" s="26"/>
      <c r="N16" s="24">
        <v>21</v>
      </c>
      <c r="O16" s="25">
        <f>(23-20)/1.35</f>
        <v>2.2222222222222219</v>
      </c>
      <c r="P16" s="21">
        <v>25</v>
      </c>
      <c r="Q16" s="20"/>
      <c r="R16" s="87">
        <f>(N16-I16)/SQRT((O16^2+J16^2)/2)</f>
        <v>0.91433537299610512</v>
      </c>
      <c r="S16" s="20">
        <v>-1</v>
      </c>
      <c r="T16" s="136">
        <f>(N16-I16)/SQRT((((P16-1)*O16^2) + ((K16-1)*J16^2))/(P16+K16-2))*S16</f>
        <v>-0.9742785792574935</v>
      </c>
      <c r="U16" s="23">
        <f>T16*(1-(3/(4*(K16+P16-2) -1)))</f>
        <v>-0.95677656885167028</v>
      </c>
      <c r="V16" s="136">
        <f>((N16-I16)/O16)*S16 * (1-(3/(4*(K16+P16-2)-1)))</f>
        <v>-2.2095808383233537</v>
      </c>
      <c r="W16" s="28"/>
      <c r="X16" s="20">
        <v>2</v>
      </c>
      <c r="Z16" s="8" t="s">
        <v>32</v>
      </c>
      <c r="AA16" s="29" t="s">
        <v>31</v>
      </c>
    </row>
    <row r="17" spans="1:54" ht="18.75" customHeight="1" x14ac:dyDescent="0.2">
      <c r="A17" s="20" t="s">
        <v>27</v>
      </c>
      <c r="B17" s="135" t="s">
        <v>509</v>
      </c>
      <c r="C17" s="21">
        <v>2021</v>
      </c>
      <c r="D17" s="22" t="s">
        <v>49</v>
      </c>
      <c r="E17" s="23" t="s">
        <v>50</v>
      </c>
      <c r="F17" s="20">
        <v>8</v>
      </c>
      <c r="G17" s="20">
        <v>13</v>
      </c>
      <c r="H17" s="20"/>
      <c r="I17" s="24">
        <v>25</v>
      </c>
      <c r="J17" s="25">
        <f>(29-17)/1.35</f>
        <v>8.8888888888888875</v>
      </c>
      <c r="K17" s="21">
        <v>19</v>
      </c>
      <c r="L17" s="26">
        <v>890</v>
      </c>
      <c r="M17" s="26"/>
      <c r="N17" s="24">
        <v>34</v>
      </c>
      <c r="O17" s="25">
        <f>(36-30)/1.35</f>
        <v>4.4444444444444438</v>
      </c>
      <c r="P17" s="21">
        <v>25</v>
      </c>
      <c r="Q17" s="20"/>
      <c r="R17" s="87">
        <f>(N17-I17)/SQRT((O17^2+J17^2)/2)</f>
        <v>1.2807224523681937</v>
      </c>
      <c r="S17" s="20">
        <v>-1</v>
      </c>
      <c r="T17" s="136">
        <f>(N17-I17)/SQRT((((P17-1)*O17^2) + ((K17-1)*J17^2))/(P17+K17-2))*S17</f>
        <v>-1.3394116012264492</v>
      </c>
      <c r="U17" s="23">
        <f>T17*(1-(3/(4*(K17+P17-2) -1)))</f>
        <v>-1.3153503149768722</v>
      </c>
      <c r="V17" s="136">
        <f>((N17-I17)/O17)*S17 * (1-(3/(4*(K17+P17-2)-1)))</f>
        <v>-1.9886227544910182</v>
      </c>
      <c r="W17" s="28"/>
      <c r="X17" s="20">
        <v>2</v>
      </c>
      <c r="Z17" s="8" t="s">
        <v>32</v>
      </c>
      <c r="AA17" s="29" t="s">
        <v>31</v>
      </c>
    </row>
    <row r="18" spans="1:54" ht="18.75" customHeight="1" x14ac:dyDescent="0.2">
      <c r="A18" s="20" t="s">
        <v>27</v>
      </c>
      <c r="B18" s="135" t="s">
        <v>509</v>
      </c>
      <c r="C18" s="21">
        <v>2021</v>
      </c>
      <c r="D18" s="22" t="s">
        <v>511</v>
      </c>
      <c r="E18" s="33" t="s">
        <v>510</v>
      </c>
      <c r="F18" s="20">
        <v>8</v>
      </c>
      <c r="G18" s="20">
        <v>14</v>
      </c>
      <c r="H18" s="20"/>
      <c r="I18" s="24">
        <v>70</v>
      </c>
      <c r="J18" s="25">
        <f>(90-58)/1.35</f>
        <v>23.703703703703702</v>
      </c>
      <c r="K18" s="21">
        <v>19</v>
      </c>
      <c r="L18" s="26">
        <v>890</v>
      </c>
      <c r="M18" s="26"/>
      <c r="N18" s="24">
        <v>41</v>
      </c>
      <c r="O18" s="25">
        <f>(46-32)/1.35</f>
        <v>10.37037037037037</v>
      </c>
      <c r="P18" s="21">
        <v>25</v>
      </c>
      <c r="Q18" s="20"/>
      <c r="R18" s="87">
        <f>(N18-I18)/SQRT((O18^2+J18^2)/2)</f>
        <v>-1.5851371663252281</v>
      </c>
      <c r="S18" s="20">
        <v>1</v>
      </c>
      <c r="T18" s="136">
        <f>(N18-I18)/SQRT((((P18-1)*O18^2) + ((K18-1)*J18^2))/(P18+K18-2))*S18</f>
        <v>-1.6680623262557845</v>
      </c>
      <c r="U18" s="23">
        <f>T18*(1-(3/(4*(K18+P18-2) -1)))</f>
        <v>-1.6380971347661597</v>
      </c>
      <c r="V18" s="136">
        <f>((N18-I18)/O18)*S18 * (1-(3/(4*(K18+P18-2)-1)))</f>
        <v>-2.7461933276304533</v>
      </c>
      <c r="W18" s="28"/>
      <c r="X18" s="20">
        <v>2</v>
      </c>
      <c r="Z18" s="8" t="s">
        <v>32</v>
      </c>
      <c r="AA18" s="29" t="s">
        <v>31</v>
      </c>
    </row>
    <row r="19" spans="1:54" ht="18.75" customHeight="1" x14ac:dyDescent="0.2">
      <c r="A19" s="20" t="s">
        <v>27</v>
      </c>
      <c r="B19" s="20" t="s">
        <v>41</v>
      </c>
      <c r="C19" s="21">
        <v>2007</v>
      </c>
      <c r="D19" s="22" t="s">
        <v>42</v>
      </c>
      <c r="E19" s="23" t="s">
        <v>43</v>
      </c>
      <c r="F19" s="20">
        <v>5</v>
      </c>
      <c r="G19" s="20">
        <v>15</v>
      </c>
      <c r="H19" s="20"/>
      <c r="I19" s="24">
        <v>39</v>
      </c>
      <c r="J19" s="25">
        <v>13.9</v>
      </c>
      <c r="K19" s="21">
        <v>12</v>
      </c>
      <c r="L19" s="30" t="s">
        <v>44</v>
      </c>
      <c r="M19" s="30"/>
      <c r="N19" s="24">
        <v>41</v>
      </c>
      <c r="O19" s="25">
        <v>11.1</v>
      </c>
      <c r="P19" s="21">
        <v>12</v>
      </c>
      <c r="Q19" s="20"/>
      <c r="R19" s="87">
        <f t="shared" si="1"/>
        <v>0.15900582349616935</v>
      </c>
      <c r="S19" s="20">
        <v>-1</v>
      </c>
      <c r="T19" s="23">
        <f t="shared" si="2"/>
        <v>-0.15900582349616935</v>
      </c>
      <c r="U19" s="23">
        <f t="shared" si="3"/>
        <v>-0.15352286406526697</v>
      </c>
      <c r="V19" s="23">
        <f t="shared" si="0"/>
        <v>-0.17396707051879468</v>
      </c>
      <c r="W19" s="28"/>
      <c r="X19" s="31" t="s">
        <v>45</v>
      </c>
      <c r="Y19" s="32" t="s">
        <v>46</v>
      </c>
      <c r="Z19" s="32" t="s">
        <v>47</v>
      </c>
      <c r="AA19" s="32" t="s">
        <v>48</v>
      </c>
      <c r="AK19" s="8">
        <v>-41</v>
      </c>
      <c r="AL19" s="8">
        <v>11.1</v>
      </c>
      <c r="AM19" s="8">
        <v>12</v>
      </c>
      <c r="BA19" s="8" t="s">
        <v>41</v>
      </c>
      <c r="BB19" s="8">
        <v>6</v>
      </c>
    </row>
    <row r="20" spans="1:54" ht="18.75" customHeight="1" x14ac:dyDescent="0.2">
      <c r="A20" s="20" t="s">
        <v>27</v>
      </c>
      <c r="B20" s="20" t="s">
        <v>41</v>
      </c>
      <c r="C20" s="21">
        <v>2007</v>
      </c>
      <c r="D20" s="22" t="s">
        <v>49</v>
      </c>
      <c r="E20" s="23" t="s">
        <v>50</v>
      </c>
      <c r="F20" s="20">
        <v>5</v>
      </c>
      <c r="G20" s="20">
        <v>16</v>
      </c>
      <c r="H20" s="20"/>
      <c r="I20" s="24">
        <v>21</v>
      </c>
      <c r="J20" s="25">
        <v>11.1</v>
      </c>
      <c r="K20" s="21">
        <v>12</v>
      </c>
      <c r="L20" s="30" t="s">
        <v>44</v>
      </c>
      <c r="M20" s="30"/>
      <c r="N20" s="24">
        <v>23</v>
      </c>
      <c r="O20" s="25">
        <v>3.8</v>
      </c>
      <c r="P20" s="21">
        <v>12</v>
      </c>
      <c r="Q20" s="20"/>
      <c r="R20" s="87">
        <f t="shared" si="1"/>
        <v>0.24107761462474395</v>
      </c>
      <c r="S20" s="20">
        <v>-1</v>
      </c>
      <c r="T20" s="23">
        <f t="shared" si="2"/>
        <v>-0.24107761462474395</v>
      </c>
      <c r="U20" s="23">
        <f t="shared" si="3"/>
        <v>-0.23276459343078726</v>
      </c>
      <c r="V20" s="23">
        <f t="shared" si="0"/>
        <v>-0.50816696914700543</v>
      </c>
      <c r="W20" s="28"/>
      <c r="X20" s="31" t="s">
        <v>45</v>
      </c>
      <c r="Y20" s="32" t="s">
        <v>46</v>
      </c>
      <c r="Z20" s="32" t="s">
        <v>47</v>
      </c>
      <c r="AA20" s="32" t="s">
        <v>48</v>
      </c>
      <c r="AK20" s="8">
        <v>-23</v>
      </c>
      <c r="AL20" s="8">
        <v>3.8</v>
      </c>
      <c r="AM20" s="8">
        <v>12</v>
      </c>
      <c r="BA20" s="8" t="s">
        <v>41</v>
      </c>
      <c r="BB20" s="8">
        <v>7</v>
      </c>
    </row>
    <row r="21" spans="1:54" ht="18.75" customHeight="1" x14ac:dyDescent="0.2">
      <c r="A21" s="20" t="s">
        <v>27</v>
      </c>
      <c r="B21" s="20" t="s">
        <v>41</v>
      </c>
      <c r="C21" s="21">
        <v>2007</v>
      </c>
      <c r="D21" s="22" t="s">
        <v>51</v>
      </c>
      <c r="E21" s="33" t="s">
        <v>52</v>
      </c>
      <c r="F21" s="20">
        <v>5</v>
      </c>
      <c r="G21" s="20">
        <v>17</v>
      </c>
      <c r="H21" s="20"/>
      <c r="I21" s="24">
        <v>40</v>
      </c>
      <c r="J21" s="25">
        <v>35</v>
      </c>
      <c r="K21" s="21">
        <v>12</v>
      </c>
      <c r="L21" s="30" t="s">
        <v>44</v>
      </c>
      <c r="M21" s="30"/>
      <c r="N21" s="24">
        <v>31</v>
      </c>
      <c r="O21" s="25">
        <v>11.9</v>
      </c>
      <c r="P21" s="21">
        <v>12</v>
      </c>
      <c r="Q21" s="20"/>
      <c r="R21" s="27">
        <f t="shared" si="1"/>
        <v>-0.34429856302523293</v>
      </c>
      <c r="S21" s="20">
        <v>1</v>
      </c>
      <c r="T21" s="23">
        <f t="shared" si="2"/>
        <v>-0.34429856302523293</v>
      </c>
      <c r="U21" s="23">
        <f t="shared" si="3"/>
        <v>-0.33242619878298352</v>
      </c>
      <c r="V21" s="23">
        <f t="shared" si="0"/>
        <v>-0.73022312373225151</v>
      </c>
      <c r="W21" s="28"/>
      <c r="X21" s="31" t="s">
        <v>45</v>
      </c>
      <c r="Y21" s="32" t="s">
        <v>46</v>
      </c>
      <c r="Z21" s="32" t="s">
        <v>47</v>
      </c>
      <c r="AA21" s="32" t="s">
        <v>48</v>
      </c>
      <c r="AK21" s="8">
        <v>31</v>
      </c>
      <c r="AL21" s="8">
        <v>11.9</v>
      </c>
      <c r="AM21" s="8">
        <v>12</v>
      </c>
      <c r="BA21" s="8" t="s">
        <v>41</v>
      </c>
      <c r="BB21" s="8">
        <v>8</v>
      </c>
    </row>
    <row r="22" spans="1:54" ht="18.75" customHeight="1" x14ac:dyDescent="0.2">
      <c r="A22" s="20" t="s">
        <v>27</v>
      </c>
      <c r="B22" s="20" t="s">
        <v>53</v>
      </c>
      <c r="C22" s="21">
        <v>2015</v>
      </c>
      <c r="D22" s="22" t="s">
        <v>54</v>
      </c>
      <c r="E22" s="23" t="s">
        <v>55</v>
      </c>
      <c r="F22" s="20">
        <v>6</v>
      </c>
      <c r="G22" s="20">
        <v>18</v>
      </c>
      <c r="H22" s="20"/>
      <c r="I22" s="24">
        <v>108.5</v>
      </c>
      <c r="J22" s="25">
        <v>17.82</v>
      </c>
      <c r="K22" s="21">
        <v>14</v>
      </c>
      <c r="L22" s="30" t="s">
        <v>44</v>
      </c>
      <c r="M22" s="30"/>
      <c r="N22" s="24">
        <v>105.93</v>
      </c>
      <c r="O22" s="25">
        <v>9.73</v>
      </c>
      <c r="P22" s="21">
        <v>14</v>
      </c>
      <c r="Q22" s="20"/>
      <c r="R22" s="27">
        <f t="shared" si="1"/>
        <v>-0.17901144563596375</v>
      </c>
      <c r="S22" s="20">
        <v>1</v>
      </c>
      <c r="T22" s="23">
        <f t="shared" si="2"/>
        <v>-0.17901144563596375</v>
      </c>
      <c r="U22" s="23">
        <f t="shared" si="3"/>
        <v>-0.17379752003491625</v>
      </c>
      <c r="V22" s="23">
        <f t="shared" si="0"/>
        <v>-0.25643839990420908</v>
      </c>
      <c r="W22" s="28"/>
      <c r="X22" s="31" t="s">
        <v>56</v>
      </c>
      <c r="Y22" s="32" t="s">
        <v>57</v>
      </c>
      <c r="Z22" s="8" t="s">
        <v>32</v>
      </c>
      <c r="AA22" s="32" t="s">
        <v>57</v>
      </c>
      <c r="AK22" s="8">
        <v>105.9</v>
      </c>
      <c r="AL22" s="8">
        <v>9.6999999999999993</v>
      </c>
      <c r="AM22" s="8">
        <v>14</v>
      </c>
      <c r="BA22" s="8" t="s">
        <v>53</v>
      </c>
      <c r="BB22" s="8">
        <v>9</v>
      </c>
    </row>
    <row r="23" spans="1:54" ht="18.75" customHeight="1" x14ac:dyDescent="0.2">
      <c r="A23" s="20" t="s">
        <v>27</v>
      </c>
      <c r="B23" s="20" t="s">
        <v>53</v>
      </c>
      <c r="C23" s="21">
        <v>2015</v>
      </c>
      <c r="D23" s="22" t="s">
        <v>58</v>
      </c>
      <c r="E23" s="23" t="s">
        <v>59</v>
      </c>
      <c r="F23" s="20">
        <v>6</v>
      </c>
      <c r="G23" s="20">
        <v>19</v>
      </c>
      <c r="H23" s="20"/>
      <c r="I23" s="24">
        <v>5.57</v>
      </c>
      <c r="J23" s="25">
        <v>1.1599999999999999</v>
      </c>
      <c r="K23" s="21">
        <v>14</v>
      </c>
      <c r="L23" s="30" t="s">
        <v>44</v>
      </c>
      <c r="M23" s="30"/>
      <c r="N23" s="24">
        <v>6</v>
      </c>
      <c r="O23" s="25">
        <v>0.1</v>
      </c>
      <c r="P23" s="21">
        <v>14</v>
      </c>
      <c r="Q23" s="20"/>
      <c r="R23" s="27">
        <f t="shared" si="1"/>
        <v>0.52229717078688032</v>
      </c>
      <c r="S23" s="20">
        <v>-1</v>
      </c>
      <c r="T23" s="23">
        <f t="shared" si="2"/>
        <v>-0.52229717078688032</v>
      </c>
      <c r="U23" s="23">
        <f t="shared" si="3"/>
        <v>-0.50708463183192265</v>
      </c>
      <c r="V23" s="23">
        <f t="shared" si="0"/>
        <v>-4.1747572815533953</v>
      </c>
      <c r="W23" s="28"/>
      <c r="X23" s="31" t="s">
        <v>56</v>
      </c>
      <c r="Y23" s="32" t="s">
        <v>57</v>
      </c>
      <c r="Z23" s="8" t="s">
        <v>32</v>
      </c>
      <c r="AA23" s="32" t="s">
        <v>57</v>
      </c>
      <c r="AK23" s="8">
        <v>-6</v>
      </c>
      <c r="AL23" s="8">
        <v>0.1</v>
      </c>
      <c r="AM23" s="8">
        <v>14</v>
      </c>
      <c r="BA23" s="8" t="s">
        <v>53</v>
      </c>
      <c r="BB23" s="8">
        <v>10</v>
      </c>
    </row>
    <row r="24" spans="1:54" ht="18.75" customHeight="1" x14ac:dyDescent="0.2">
      <c r="A24" s="20" t="s">
        <v>27</v>
      </c>
      <c r="B24" s="20" t="s">
        <v>60</v>
      </c>
      <c r="C24" s="21">
        <v>2017</v>
      </c>
      <c r="D24" s="22" t="s">
        <v>61</v>
      </c>
      <c r="E24" s="23" t="s">
        <v>62</v>
      </c>
      <c r="F24" s="20">
        <v>7</v>
      </c>
      <c r="G24" s="20">
        <v>20</v>
      </c>
      <c r="H24" s="20"/>
      <c r="I24" s="24">
        <v>37.299999999999997</v>
      </c>
      <c r="J24" s="25">
        <v>11.3</v>
      </c>
      <c r="K24" s="21">
        <v>37</v>
      </c>
      <c r="L24" s="26">
        <v>720</v>
      </c>
      <c r="M24" s="26"/>
      <c r="N24" s="24">
        <v>27.1</v>
      </c>
      <c r="O24" s="25">
        <v>10.199999999999999</v>
      </c>
      <c r="P24" s="21">
        <v>30</v>
      </c>
      <c r="Q24" s="20"/>
      <c r="R24" s="27">
        <f t="shared" si="1"/>
        <v>-0.94759778911230153</v>
      </c>
      <c r="S24" s="20">
        <v>1</v>
      </c>
      <c r="T24" s="23">
        <f t="shared" si="2"/>
        <v>-0.94243284589976595</v>
      </c>
      <c r="U24" s="23">
        <f t="shared" si="3"/>
        <v>-0.93151663532949835</v>
      </c>
      <c r="V24" s="23">
        <f t="shared" si="0"/>
        <v>-0.98841698841698811</v>
      </c>
      <c r="W24" s="28"/>
      <c r="X24" s="20">
        <v>1</v>
      </c>
      <c r="Y24" s="29" t="s">
        <v>63</v>
      </c>
      <c r="Z24" s="8" t="s">
        <v>32</v>
      </c>
      <c r="AA24" s="29" t="s">
        <v>48</v>
      </c>
      <c r="AK24" s="8">
        <v>27.1</v>
      </c>
      <c r="AL24" s="8">
        <v>10.199999999999999</v>
      </c>
      <c r="AM24" s="8">
        <v>30</v>
      </c>
      <c r="BA24" s="8" t="s">
        <v>60</v>
      </c>
      <c r="BB24" s="8">
        <v>14</v>
      </c>
    </row>
    <row r="25" spans="1:54" ht="18.75" customHeight="1" x14ac:dyDescent="0.2">
      <c r="A25" s="20" t="s">
        <v>27</v>
      </c>
      <c r="B25" s="20" t="s">
        <v>60</v>
      </c>
      <c r="C25" s="21">
        <v>2017</v>
      </c>
      <c r="D25" s="22" t="s">
        <v>64</v>
      </c>
      <c r="E25" s="23" t="s">
        <v>30</v>
      </c>
      <c r="F25" s="20">
        <v>7</v>
      </c>
      <c r="G25" s="20">
        <v>21</v>
      </c>
      <c r="H25" s="20"/>
      <c r="I25" s="91">
        <v>35.9</v>
      </c>
      <c r="J25" s="92">
        <v>11.4</v>
      </c>
      <c r="K25" s="88">
        <v>37</v>
      </c>
      <c r="L25" s="89">
        <v>720</v>
      </c>
      <c r="M25" s="89"/>
      <c r="N25" s="91">
        <v>41.8</v>
      </c>
      <c r="O25" s="92">
        <v>12.9</v>
      </c>
      <c r="P25" s="93">
        <v>30</v>
      </c>
      <c r="Q25" s="90"/>
      <c r="R25" s="87">
        <f t="shared" si="1"/>
        <v>0.4846741857884948</v>
      </c>
      <c r="S25" s="90">
        <v>-1</v>
      </c>
      <c r="T25" s="23">
        <f t="shared" si="2"/>
        <v>-0.48791615148286677</v>
      </c>
      <c r="U25" s="23">
        <f t="shared" si="3"/>
        <v>-0.48226461304870227</v>
      </c>
      <c r="V25" s="23">
        <f t="shared" si="0"/>
        <v>-0.45206668462482402</v>
      </c>
      <c r="W25" s="28"/>
      <c r="X25" s="20">
        <v>1</v>
      </c>
      <c r="Y25" s="29" t="s">
        <v>63</v>
      </c>
      <c r="Z25" s="8" t="s">
        <v>32</v>
      </c>
      <c r="AA25" s="29" t="s">
        <v>48</v>
      </c>
      <c r="AK25" s="8">
        <v>-25</v>
      </c>
      <c r="AL25" s="8">
        <v>5</v>
      </c>
      <c r="AM25" s="8">
        <v>30</v>
      </c>
      <c r="BA25" s="8" t="s">
        <v>65</v>
      </c>
      <c r="BB25" s="8">
        <v>15</v>
      </c>
    </row>
    <row r="26" spans="1:54" ht="18.75" customHeight="1" x14ac:dyDescent="0.2">
      <c r="A26" s="20" t="s">
        <v>27</v>
      </c>
      <c r="B26" s="20" t="s">
        <v>60</v>
      </c>
      <c r="C26" s="21">
        <v>2017</v>
      </c>
      <c r="D26" s="22" t="s">
        <v>66</v>
      </c>
      <c r="E26" s="23" t="s">
        <v>50</v>
      </c>
      <c r="F26" s="20">
        <v>7</v>
      </c>
      <c r="G26" s="20">
        <v>22</v>
      </c>
      <c r="H26" s="20"/>
      <c r="I26" s="163">
        <v>21.4</v>
      </c>
      <c r="J26" s="155">
        <v>6.2</v>
      </c>
      <c r="K26" s="88">
        <v>37</v>
      </c>
      <c r="L26" s="89">
        <v>720</v>
      </c>
      <c r="M26" s="89"/>
      <c r="N26" s="163">
        <v>25</v>
      </c>
      <c r="O26" s="155">
        <v>5</v>
      </c>
      <c r="P26" s="88">
        <v>30</v>
      </c>
      <c r="Q26" s="90"/>
      <c r="R26" s="157">
        <f t="shared" si="1"/>
        <v>0.63919874180559166</v>
      </c>
      <c r="S26" s="90">
        <v>-1</v>
      </c>
      <c r="T26" s="23">
        <f t="shared" si="2"/>
        <v>-0.63202952084964537</v>
      </c>
      <c r="U26" s="23">
        <f t="shared" si="3"/>
        <v>-0.62470871558883867</v>
      </c>
      <c r="V26" s="23">
        <f t="shared" si="0"/>
        <v>-0.71166023166023196</v>
      </c>
      <c r="W26" s="28"/>
      <c r="X26" s="20">
        <v>1</v>
      </c>
      <c r="Y26" s="29" t="s">
        <v>63</v>
      </c>
      <c r="Z26" s="8" t="s">
        <v>32</v>
      </c>
      <c r="AA26" s="29" t="s">
        <v>48</v>
      </c>
      <c r="AK26" s="8">
        <v>-25</v>
      </c>
      <c r="AL26" s="8">
        <v>5</v>
      </c>
      <c r="AM26" s="8">
        <v>30</v>
      </c>
      <c r="BA26" s="8" t="s">
        <v>65</v>
      </c>
      <c r="BB26" s="8">
        <v>15</v>
      </c>
    </row>
    <row r="27" spans="1:54" ht="18.75" customHeight="1" x14ac:dyDescent="0.2">
      <c r="A27" s="20" t="s">
        <v>27</v>
      </c>
      <c r="B27" s="20" t="s">
        <v>60</v>
      </c>
      <c r="C27" s="21">
        <v>2017</v>
      </c>
      <c r="D27" s="22" t="s">
        <v>67</v>
      </c>
      <c r="E27" s="23" t="s">
        <v>68</v>
      </c>
      <c r="F27" s="20">
        <v>7</v>
      </c>
      <c r="G27" s="20">
        <v>23</v>
      </c>
      <c r="H27" s="20"/>
      <c r="I27" s="163">
        <v>19</v>
      </c>
      <c r="J27" s="155">
        <v>10.8</v>
      </c>
      <c r="K27" s="88">
        <v>37</v>
      </c>
      <c r="L27" s="89">
        <v>720</v>
      </c>
      <c r="M27" s="89"/>
      <c r="N27" s="163">
        <v>20.7</v>
      </c>
      <c r="O27" s="155">
        <v>13.3</v>
      </c>
      <c r="P27" s="88">
        <v>30</v>
      </c>
      <c r="Q27" s="90"/>
      <c r="R27" s="157">
        <f t="shared" si="1"/>
        <v>0.14032584688474611</v>
      </c>
      <c r="S27" s="20">
        <v>1</v>
      </c>
      <c r="T27" s="23">
        <f t="shared" si="2"/>
        <v>0.14190298941852078</v>
      </c>
      <c r="U27" s="23">
        <f t="shared" si="3"/>
        <v>0.1402593254484221</v>
      </c>
      <c r="V27" s="23">
        <f t="shared" si="0"/>
        <v>0.12633901355705862</v>
      </c>
      <c r="W27" s="28"/>
      <c r="X27" s="20">
        <v>1</v>
      </c>
      <c r="Y27" s="29" t="s">
        <v>63</v>
      </c>
      <c r="Z27" s="8" t="s">
        <v>32</v>
      </c>
      <c r="AA27" s="29" t="s">
        <v>48</v>
      </c>
      <c r="AK27" s="8">
        <v>20.7</v>
      </c>
      <c r="AL27" s="8">
        <v>13.3</v>
      </c>
      <c r="AM27" s="8">
        <v>30</v>
      </c>
      <c r="BA27" s="8" t="s">
        <v>60</v>
      </c>
      <c r="BB27" s="8">
        <v>11</v>
      </c>
    </row>
    <row r="28" spans="1:54" ht="18.75" customHeight="1" x14ac:dyDescent="0.2">
      <c r="A28" s="20" t="s">
        <v>27</v>
      </c>
      <c r="B28" s="20" t="s">
        <v>60</v>
      </c>
      <c r="C28" s="21">
        <v>2017</v>
      </c>
      <c r="D28" s="22" t="s">
        <v>69</v>
      </c>
      <c r="E28" s="23" t="s">
        <v>70</v>
      </c>
      <c r="F28" s="20">
        <v>7</v>
      </c>
      <c r="G28" s="20">
        <v>24</v>
      </c>
      <c r="H28" s="20"/>
      <c r="I28" s="163">
        <v>3.9</v>
      </c>
      <c r="J28" s="155">
        <v>1.2</v>
      </c>
      <c r="K28" s="88">
        <v>37</v>
      </c>
      <c r="L28" s="89">
        <v>720</v>
      </c>
      <c r="M28" s="89"/>
      <c r="N28" s="163">
        <v>4.4000000000000004</v>
      </c>
      <c r="O28" s="155">
        <v>0.9</v>
      </c>
      <c r="P28" s="88">
        <v>30</v>
      </c>
      <c r="Q28" s="90"/>
      <c r="R28" s="157">
        <f t="shared" si="1"/>
        <v>0.47140452079103212</v>
      </c>
      <c r="S28" s="20">
        <v>-1</v>
      </c>
      <c r="T28" s="23">
        <f t="shared" si="2"/>
        <v>-0.46445399085842726</v>
      </c>
      <c r="U28" s="23">
        <f t="shared" si="3"/>
        <v>-0.45907421490253814</v>
      </c>
      <c r="V28" s="23">
        <f t="shared" si="0"/>
        <v>-0.54912054912054964</v>
      </c>
      <c r="W28" s="28"/>
      <c r="X28" s="20">
        <v>1</v>
      </c>
      <c r="Y28" s="29" t="s">
        <v>63</v>
      </c>
      <c r="Z28" s="8" t="s">
        <v>32</v>
      </c>
      <c r="AA28" s="29" t="s">
        <v>48</v>
      </c>
      <c r="AK28" s="8">
        <v>-4.4000000000000004</v>
      </c>
      <c r="AL28" s="8">
        <v>0.9</v>
      </c>
      <c r="AM28" s="8">
        <v>30</v>
      </c>
      <c r="BA28" s="8" t="s">
        <v>60</v>
      </c>
      <c r="BB28" s="8">
        <v>13</v>
      </c>
    </row>
    <row r="29" spans="1:54" ht="18.75" customHeight="1" x14ac:dyDescent="0.2">
      <c r="A29" s="20" t="s">
        <v>27</v>
      </c>
      <c r="B29" s="20" t="s">
        <v>60</v>
      </c>
      <c r="C29" s="21">
        <v>2017</v>
      </c>
      <c r="D29" s="22" t="s">
        <v>54</v>
      </c>
      <c r="E29" s="20" t="s">
        <v>71</v>
      </c>
      <c r="F29" s="20">
        <v>7</v>
      </c>
      <c r="G29" s="20">
        <v>25</v>
      </c>
      <c r="H29" s="20"/>
      <c r="I29" s="163">
        <v>8.1</v>
      </c>
      <c r="J29" s="155">
        <v>5.0999999999999996</v>
      </c>
      <c r="K29" s="88">
        <v>37</v>
      </c>
      <c r="L29" s="89">
        <v>720</v>
      </c>
      <c r="M29" s="89"/>
      <c r="N29" s="163">
        <v>6.8</v>
      </c>
      <c r="O29" s="155">
        <v>4.4000000000000004</v>
      </c>
      <c r="P29" s="88">
        <v>30</v>
      </c>
      <c r="Q29" s="90"/>
      <c r="R29" s="157">
        <f t="shared" si="1"/>
        <v>-0.2729442568277331</v>
      </c>
      <c r="S29" s="20">
        <v>1</v>
      </c>
      <c r="T29" s="23">
        <f t="shared" si="2"/>
        <v>-0.27081525065373824</v>
      </c>
      <c r="U29" s="23">
        <f t="shared" si="3"/>
        <v>-0.26767839446855979</v>
      </c>
      <c r="V29" s="23">
        <f t="shared" si="0"/>
        <v>-0.29203229203229197</v>
      </c>
      <c r="W29" s="28"/>
      <c r="X29" s="20">
        <v>1</v>
      </c>
      <c r="Y29" s="29" t="s">
        <v>63</v>
      </c>
      <c r="Z29" s="8" t="s">
        <v>32</v>
      </c>
      <c r="AA29" s="29" t="s">
        <v>48</v>
      </c>
      <c r="AK29" s="8">
        <v>6.8</v>
      </c>
      <c r="AL29" s="8">
        <v>4.4000000000000004</v>
      </c>
      <c r="AM29" s="8">
        <v>30</v>
      </c>
      <c r="BA29" s="8" t="s">
        <v>60</v>
      </c>
      <c r="BB29" s="8">
        <v>12</v>
      </c>
    </row>
    <row r="30" spans="1:54" ht="18.75" customHeight="1" x14ac:dyDescent="0.2">
      <c r="A30" s="20" t="s">
        <v>27</v>
      </c>
      <c r="B30" s="20" t="s">
        <v>72</v>
      </c>
      <c r="C30" s="21">
        <v>2017</v>
      </c>
      <c r="D30" s="22" t="s">
        <v>54</v>
      </c>
      <c r="E30" s="20" t="s">
        <v>71</v>
      </c>
      <c r="F30" s="20">
        <v>9</v>
      </c>
      <c r="G30" s="20">
        <v>26</v>
      </c>
      <c r="H30" s="20"/>
      <c r="I30" s="163">
        <v>21</v>
      </c>
      <c r="J30" s="155">
        <v>32</v>
      </c>
      <c r="K30" s="88">
        <v>25</v>
      </c>
      <c r="L30" s="89">
        <v>1332</v>
      </c>
      <c r="M30" s="89"/>
      <c r="N30" s="163">
        <v>12</v>
      </c>
      <c r="O30" s="155">
        <v>9</v>
      </c>
      <c r="P30" s="88">
        <v>15</v>
      </c>
      <c r="Q30" s="90"/>
      <c r="R30" s="157">
        <f t="shared" si="1"/>
        <v>-0.38289206683036531</v>
      </c>
      <c r="S30" s="20">
        <v>1</v>
      </c>
      <c r="T30" s="23">
        <f t="shared" si="2"/>
        <v>-0.34600571285103698</v>
      </c>
      <c r="U30" s="23">
        <f t="shared" si="3"/>
        <v>-0.3391314271652548</v>
      </c>
      <c r="V30" s="23">
        <f t="shared" si="0"/>
        <v>-0.98013245033112584</v>
      </c>
      <c r="W30" s="28"/>
      <c r="X30" s="20">
        <v>1</v>
      </c>
      <c r="Y30" s="29" t="s">
        <v>63</v>
      </c>
      <c r="Z30" s="8" t="s">
        <v>32</v>
      </c>
      <c r="AA30" s="29" t="s">
        <v>48</v>
      </c>
      <c r="AK30" s="8">
        <v>-12</v>
      </c>
      <c r="AL30" s="8">
        <v>9</v>
      </c>
      <c r="AM30" s="8">
        <v>15</v>
      </c>
      <c r="BA30" s="8" t="s">
        <v>72</v>
      </c>
      <c r="BB30" s="8">
        <v>16</v>
      </c>
    </row>
    <row r="31" spans="1:54" ht="18.75" customHeight="1" x14ac:dyDescent="0.2">
      <c r="A31" s="20" t="s">
        <v>27</v>
      </c>
      <c r="B31" s="20" t="s">
        <v>73</v>
      </c>
      <c r="C31" s="21">
        <v>1996</v>
      </c>
      <c r="D31" s="22" t="s">
        <v>74</v>
      </c>
      <c r="E31" s="20"/>
      <c r="F31" s="20">
        <v>10</v>
      </c>
      <c r="G31" s="20">
        <v>27</v>
      </c>
      <c r="H31" s="20"/>
      <c r="I31" s="164">
        <v>6</v>
      </c>
      <c r="J31" s="155">
        <v>0</v>
      </c>
      <c r="K31" s="88">
        <v>11</v>
      </c>
      <c r="L31" s="165">
        <v>566</v>
      </c>
      <c r="M31" s="165"/>
      <c r="N31" s="163">
        <v>5.59</v>
      </c>
      <c r="O31" s="155">
        <v>1.33</v>
      </c>
      <c r="P31" s="88">
        <v>22</v>
      </c>
      <c r="Q31" s="90"/>
      <c r="R31" s="157">
        <f t="shared" si="1"/>
        <v>-0.43596057185937531</v>
      </c>
      <c r="S31" s="20">
        <v>-1</v>
      </c>
      <c r="T31" s="23">
        <f t="shared" si="2"/>
        <v>0.37454449245191274</v>
      </c>
      <c r="U31" s="23">
        <f t="shared" si="3"/>
        <v>0.36540926092869536</v>
      </c>
      <c r="V31" s="23">
        <f t="shared" si="0"/>
        <v>0.30075187969924821</v>
      </c>
      <c r="W31" s="28"/>
      <c r="X31" s="31" t="s">
        <v>75</v>
      </c>
      <c r="Y31" s="32" t="s">
        <v>75</v>
      </c>
      <c r="Z31" s="32" t="s">
        <v>75</v>
      </c>
      <c r="AA31" s="32" t="s">
        <v>75</v>
      </c>
    </row>
    <row r="32" spans="1:54" ht="18.75" customHeight="1" x14ac:dyDescent="0.2">
      <c r="A32" s="20" t="s">
        <v>27</v>
      </c>
      <c r="B32" s="20" t="s">
        <v>76</v>
      </c>
      <c r="C32" s="21">
        <v>1996</v>
      </c>
      <c r="D32" s="22" t="s">
        <v>74</v>
      </c>
      <c r="E32" s="20"/>
      <c r="F32" s="20">
        <v>11</v>
      </c>
      <c r="G32" s="20">
        <v>28</v>
      </c>
      <c r="H32" s="20"/>
      <c r="I32" s="164">
        <v>4.4000000000000004</v>
      </c>
      <c r="J32" s="155">
        <v>1.71</v>
      </c>
      <c r="K32" s="88">
        <v>11</v>
      </c>
      <c r="L32" s="165">
        <v>1545</v>
      </c>
      <c r="M32" s="165"/>
      <c r="N32" s="163">
        <v>5.59</v>
      </c>
      <c r="O32" s="155">
        <v>1.33</v>
      </c>
      <c r="P32" s="88">
        <v>22</v>
      </c>
      <c r="Q32" s="90"/>
      <c r="R32" s="157">
        <f t="shared" si="1"/>
        <v>0.77684912716398946</v>
      </c>
      <c r="S32" s="20">
        <v>-1</v>
      </c>
      <c r="T32" s="23">
        <f t="shared" si="2"/>
        <v>-0.81317373496962264</v>
      </c>
      <c r="U32" s="23">
        <f t="shared" si="3"/>
        <v>-0.79334022923865621</v>
      </c>
      <c r="V32" s="23">
        <f t="shared" si="0"/>
        <v>-0.8729139922978173</v>
      </c>
      <c r="W32" s="28"/>
      <c r="X32" s="31" t="s">
        <v>75</v>
      </c>
      <c r="Y32" s="32" t="s">
        <v>75</v>
      </c>
      <c r="Z32" s="32" t="s">
        <v>75</v>
      </c>
      <c r="AA32" s="32" t="s">
        <v>75</v>
      </c>
    </row>
    <row r="33" spans="1:54" ht="18.75" customHeight="1" x14ac:dyDescent="0.2">
      <c r="A33" s="20" t="s">
        <v>27</v>
      </c>
      <c r="B33" s="20" t="s">
        <v>73</v>
      </c>
      <c r="C33" s="21">
        <v>1996</v>
      </c>
      <c r="D33" s="22" t="s">
        <v>54</v>
      </c>
      <c r="E33" s="20"/>
      <c r="F33" s="20">
        <v>10</v>
      </c>
      <c r="G33" s="20">
        <v>29</v>
      </c>
      <c r="H33" s="20"/>
      <c r="I33" s="164">
        <v>7.6</v>
      </c>
      <c r="J33" s="155">
        <v>4.29</v>
      </c>
      <c r="K33" s="88">
        <v>11</v>
      </c>
      <c r="L33" s="165">
        <v>566</v>
      </c>
      <c r="M33" s="165"/>
      <c r="N33" s="163">
        <v>9.68</v>
      </c>
      <c r="O33" s="155">
        <v>8.23</v>
      </c>
      <c r="P33" s="88">
        <v>22</v>
      </c>
      <c r="Q33" s="90"/>
      <c r="R33" s="157">
        <f t="shared" si="1"/>
        <v>0.31694467663120451</v>
      </c>
      <c r="S33" s="20">
        <v>1</v>
      </c>
      <c r="T33" s="23">
        <f t="shared" si="2"/>
        <v>0.28894356182945941</v>
      </c>
      <c r="U33" s="23">
        <f t="shared" si="3"/>
        <v>0.28189615788239941</v>
      </c>
      <c r="V33" s="23">
        <f t="shared" si="0"/>
        <v>0.24656965889221466</v>
      </c>
      <c r="W33" s="28"/>
      <c r="X33" s="31" t="s">
        <v>75</v>
      </c>
      <c r="Y33" s="32" t="s">
        <v>75</v>
      </c>
      <c r="Z33" s="32" t="s">
        <v>75</v>
      </c>
      <c r="AA33" s="32" t="s">
        <v>75</v>
      </c>
    </row>
    <row r="34" spans="1:54" ht="18.75" customHeight="1" x14ac:dyDescent="0.2">
      <c r="A34" s="20" t="s">
        <v>27</v>
      </c>
      <c r="B34" s="20" t="s">
        <v>76</v>
      </c>
      <c r="C34" s="21">
        <v>1996</v>
      </c>
      <c r="D34" s="22" t="s">
        <v>54</v>
      </c>
      <c r="E34" s="20"/>
      <c r="F34" s="20">
        <v>11</v>
      </c>
      <c r="G34" s="20">
        <v>30</v>
      </c>
      <c r="H34" s="20"/>
      <c r="I34" s="163">
        <v>23</v>
      </c>
      <c r="J34" s="155">
        <v>10.1</v>
      </c>
      <c r="K34" s="88">
        <v>11</v>
      </c>
      <c r="L34" s="165">
        <v>1545</v>
      </c>
      <c r="M34" s="165"/>
      <c r="N34" s="163">
        <v>9.68</v>
      </c>
      <c r="O34" s="155">
        <v>8.23</v>
      </c>
      <c r="P34" s="88">
        <v>22</v>
      </c>
      <c r="Q34" s="90"/>
      <c r="R34" s="157">
        <f t="shared" si="1"/>
        <v>-1.4458505809451692</v>
      </c>
      <c r="S34" s="20">
        <v>1</v>
      </c>
      <c r="T34" s="23">
        <f t="shared" si="2"/>
        <v>-1.5006126202727954</v>
      </c>
      <c r="U34" s="23">
        <f t="shared" si="3"/>
        <v>-1.4640123124612638</v>
      </c>
      <c r="V34" s="23">
        <f t="shared" si="0"/>
        <v>-1.5789941617520671</v>
      </c>
      <c r="W34" s="28"/>
      <c r="X34" s="31" t="s">
        <v>75</v>
      </c>
      <c r="Y34" s="32" t="s">
        <v>75</v>
      </c>
      <c r="Z34" s="32" t="s">
        <v>75</v>
      </c>
      <c r="AA34" s="32" t="s">
        <v>75</v>
      </c>
    </row>
    <row r="35" spans="1:54" ht="18.75" customHeight="1" x14ac:dyDescent="0.2">
      <c r="A35" s="20" t="s">
        <v>27</v>
      </c>
      <c r="B35" s="21" t="s">
        <v>77</v>
      </c>
      <c r="C35" s="21">
        <v>2020</v>
      </c>
      <c r="D35" s="22" t="s">
        <v>61</v>
      </c>
      <c r="E35" s="23" t="s">
        <v>62</v>
      </c>
      <c r="F35" s="21">
        <v>12</v>
      </c>
      <c r="G35" s="20">
        <v>31</v>
      </c>
      <c r="H35" s="20"/>
      <c r="I35" s="163">
        <v>41.6</v>
      </c>
      <c r="J35" s="155">
        <v>12</v>
      </c>
      <c r="K35" s="88">
        <v>19</v>
      </c>
      <c r="L35" s="89">
        <v>1042</v>
      </c>
      <c r="M35" s="89"/>
      <c r="N35" s="163">
        <v>39.4</v>
      </c>
      <c r="O35" s="155">
        <v>9.1</v>
      </c>
      <c r="P35" s="88">
        <v>19</v>
      </c>
      <c r="Q35" s="88"/>
      <c r="R35" s="157">
        <f t="shared" si="1"/>
        <v>-0.20658870789239581</v>
      </c>
      <c r="S35" s="20">
        <v>1</v>
      </c>
      <c r="T35" s="23">
        <f t="shared" si="2"/>
        <v>-0.20658870789239581</v>
      </c>
      <c r="U35" s="23">
        <f t="shared" si="3"/>
        <v>-0.20225467905549241</v>
      </c>
      <c r="V35" s="23">
        <f t="shared" si="0"/>
        <v>-0.23668639053254473</v>
      </c>
      <c r="W35" s="28"/>
      <c r="X35" s="20">
        <v>1</v>
      </c>
      <c r="Y35" s="29" t="s">
        <v>63</v>
      </c>
      <c r="Z35" s="8" t="s">
        <v>32</v>
      </c>
      <c r="AA35" s="29" t="s">
        <v>48</v>
      </c>
    </row>
    <row r="36" spans="1:54" ht="18.75" customHeight="1" x14ac:dyDescent="0.2">
      <c r="A36" s="20" t="s">
        <v>27</v>
      </c>
      <c r="B36" s="21" t="s">
        <v>77</v>
      </c>
      <c r="C36" s="21">
        <v>2020</v>
      </c>
      <c r="D36" s="22" t="s">
        <v>64</v>
      </c>
      <c r="E36" s="23" t="s">
        <v>30</v>
      </c>
      <c r="F36" s="21">
        <v>12</v>
      </c>
      <c r="G36" s="20">
        <v>32</v>
      </c>
      <c r="H36" s="20"/>
      <c r="I36" s="163">
        <v>39</v>
      </c>
      <c r="J36" s="155">
        <v>11</v>
      </c>
      <c r="K36" s="88">
        <v>19</v>
      </c>
      <c r="L36" s="89">
        <v>1042</v>
      </c>
      <c r="M36" s="89"/>
      <c r="N36" s="163">
        <v>47.5</v>
      </c>
      <c r="O36" s="155">
        <v>9.3000000000000007</v>
      </c>
      <c r="P36" s="88">
        <v>19</v>
      </c>
      <c r="Q36" s="88"/>
      <c r="R36" s="157">
        <f t="shared" si="1"/>
        <v>0.83451728833808958</v>
      </c>
      <c r="S36" s="20">
        <v>-1</v>
      </c>
      <c r="T36" s="23">
        <f t="shared" si="2"/>
        <v>-0.83451728833808958</v>
      </c>
      <c r="U36" s="23">
        <f t="shared" si="3"/>
        <v>-0.81700993263868915</v>
      </c>
      <c r="V36" s="23">
        <f t="shared" si="0"/>
        <v>-0.89480412061057224</v>
      </c>
      <c r="W36" s="28"/>
      <c r="X36" s="20">
        <v>1</v>
      </c>
      <c r="Y36" s="29" t="s">
        <v>63</v>
      </c>
      <c r="Z36" s="8" t="s">
        <v>32</v>
      </c>
      <c r="AA36" s="29" t="s">
        <v>48</v>
      </c>
    </row>
    <row r="37" spans="1:54" ht="18.75" customHeight="1" x14ac:dyDescent="0.2">
      <c r="A37" s="20" t="s">
        <v>27</v>
      </c>
      <c r="B37" s="21" t="s">
        <v>77</v>
      </c>
      <c r="C37" s="21">
        <v>2020</v>
      </c>
      <c r="D37" s="22" t="s">
        <v>66</v>
      </c>
      <c r="E37" s="23" t="s">
        <v>50</v>
      </c>
      <c r="F37" s="21">
        <v>12</v>
      </c>
      <c r="G37" s="20">
        <v>33</v>
      </c>
      <c r="H37" s="20"/>
      <c r="I37" s="163">
        <v>20.100000000000001</v>
      </c>
      <c r="J37" s="155">
        <v>4.8</v>
      </c>
      <c r="K37" s="88">
        <v>19</v>
      </c>
      <c r="L37" s="89">
        <v>1042</v>
      </c>
      <c r="M37" s="89"/>
      <c r="N37" s="163">
        <v>23.5</v>
      </c>
      <c r="O37" s="155">
        <v>3.6</v>
      </c>
      <c r="P37" s="88">
        <v>19</v>
      </c>
      <c r="Q37" s="88"/>
      <c r="R37" s="157">
        <f t="shared" si="1"/>
        <v>0.80138768534475358</v>
      </c>
      <c r="S37" s="20">
        <v>-1</v>
      </c>
      <c r="T37" s="23">
        <f t="shared" si="2"/>
        <v>-0.80138768534475358</v>
      </c>
      <c r="U37" s="23">
        <f t="shared" si="3"/>
        <v>-0.78457535628157693</v>
      </c>
      <c r="V37" s="23">
        <f t="shared" si="0"/>
        <v>-0.92463092463092422</v>
      </c>
      <c r="W37" s="28"/>
      <c r="X37" s="20">
        <v>1</v>
      </c>
      <c r="Y37" s="29" t="s">
        <v>63</v>
      </c>
      <c r="Z37" s="8" t="s">
        <v>32</v>
      </c>
      <c r="AA37" s="29" t="s">
        <v>48</v>
      </c>
    </row>
    <row r="38" spans="1:54" ht="18.75" customHeight="1" x14ac:dyDescent="0.2">
      <c r="A38" s="20" t="s">
        <v>27</v>
      </c>
      <c r="B38" s="21" t="s">
        <v>77</v>
      </c>
      <c r="C38" s="21">
        <v>2020</v>
      </c>
      <c r="D38" s="22" t="s">
        <v>67</v>
      </c>
      <c r="E38" s="23" t="s">
        <v>68</v>
      </c>
      <c r="F38" s="21">
        <v>12</v>
      </c>
      <c r="G38" s="20">
        <v>34</v>
      </c>
      <c r="H38" s="20"/>
      <c r="I38" s="24">
        <v>47.5</v>
      </c>
      <c r="J38" s="25">
        <v>29</v>
      </c>
      <c r="K38" s="21">
        <v>19</v>
      </c>
      <c r="L38" s="26">
        <v>1042</v>
      </c>
      <c r="M38" s="26"/>
      <c r="N38" s="24">
        <v>24.4</v>
      </c>
      <c r="O38" s="25">
        <v>13.1</v>
      </c>
      <c r="P38" s="21">
        <v>19</v>
      </c>
      <c r="Q38" s="21"/>
      <c r="R38" s="27">
        <f t="shared" si="1"/>
        <v>-1.0266109016631155</v>
      </c>
      <c r="S38" s="20">
        <v>1</v>
      </c>
      <c r="T38" s="23">
        <f t="shared" si="2"/>
        <v>-1.0266109016631155</v>
      </c>
      <c r="U38" s="23">
        <f t="shared" si="3"/>
        <v>-1.0050736100198334</v>
      </c>
      <c r="V38" s="23">
        <f t="shared" si="0"/>
        <v>-1.7263652378156198</v>
      </c>
      <c r="W38" s="28"/>
      <c r="X38" s="20">
        <v>1</v>
      </c>
      <c r="Y38" s="29" t="s">
        <v>63</v>
      </c>
      <c r="Z38" s="8" t="s">
        <v>32</v>
      </c>
      <c r="AA38" s="29" t="s">
        <v>48</v>
      </c>
    </row>
    <row r="39" spans="1:54" ht="18.75" customHeight="1" x14ac:dyDescent="0.2">
      <c r="A39" s="20" t="s">
        <v>27</v>
      </c>
      <c r="B39" s="21" t="s">
        <v>77</v>
      </c>
      <c r="C39" s="21">
        <v>2020</v>
      </c>
      <c r="D39" s="22" t="s">
        <v>69</v>
      </c>
      <c r="E39" s="23" t="s">
        <v>70</v>
      </c>
      <c r="F39" s="21">
        <v>12</v>
      </c>
      <c r="G39" s="20">
        <v>35</v>
      </c>
      <c r="H39" s="20"/>
      <c r="I39" s="24">
        <v>4</v>
      </c>
      <c r="J39" s="25">
        <v>1.1000000000000001</v>
      </c>
      <c r="K39" s="21">
        <v>19</v>
      </c>
      <c r="L39" s="26">
        <v>1042</v>
      </c>
      <c r="M39" s="26"/>
      <c r="N39" s="24">
        <v>4.0999999999999996</v>
      </c>
      <c r="O39" s="25">
        <v>1</v>
      </c>
      <c r="P39" s="21">
        <v>19</v>
      </c>
      <c r="Q39" s="21"/>
      <c r="R39" s="27">
        <f t="shared" si="1"/>
        <v>9.5130298830898477E-2</v>
      </c>
      <c r="S39" s="20">
        <v>-1</v>
      </c>
      <c r="T39" s="23">
        <f t="shared" si="2"/>
        <v>-9.5130298830898477E-2</v>
      </c>
      <c r="U39" s="23">
        <f t="shared" si="3"/>
        <v>-9.3134558295984521E-2</v>
      </c>
      <c r="V39" s="23">
        <f t="shared" si="0"/>
        <v>-9.7902097902097557E-2</v>
      </c>
      <c r="W39" s="28"/>
      <c r="X39" s="20">
        <v>1</v>
      </c>
      <c r="Y39" s="29" t="s">
        <v>63</v>
      </c>
      <c r="Z39" s="8" t="s">
        <v>32</v>
      </c>
      <c r="AA39" s="29" t="s">
        <v>48</v>
      </c>
    </row>
    <row r="40" spans="1:54" ht="18.75" customHeight="1" x14ac:dyDescent="0.2">
      <c r="A40" s="20" t="s">
        <v>27</v>
      </c>
      <c r="B40" s="21" t="s">
        <v>77</v>
      </c>
      <c r="C40" s="21">
        <v>2020</v>
      </c>
      <c r="D40" s="22" t="s">
        <v>54</v>
      </c>
      <c r="E40" s="20" t="s">
        <v>71</v>
      </c>
      <c r="F40" s="21">
        <v>12</v>
      </c>
      <c r="G40" s="20">
        <v>36</v>
      </c>
      <c r="H40" s="20"/>
      <c r="I40" s="24">
        <v>7</v>
      </c>
      <c r="J40" s="25">
        <v>3.1</v>
      </c>
      <c r="K40" s="21">
        <v>19</v>
      </c>
      <c r="L40" s="26">
        <v>1042</v>
      </c>
      <c r="M40" s="26"/>
      <c r="N40" s="24">
        <v>7.8</v>
      </c>
      <c r="O40" s="25">
        <v>3.3</v>
      </c>
      <c r="P40" s="21">
        <v>19</v>
      </c>
      <c r="Q40" s="21"/>
      <c r="R40" s="27">
        <f t="shared" si="1"/>
        <v>0.24987801902176965</v>
      </c>
      <c r="S40" s="20">
        <v>1</v>
      </c>
      <c r="T40" s="23">
        <f t="shared" si="2"/>
        <v>0.24987801902176965</v>
      </c>
      <c r="U40" s="23">
        <f t="shared" si="3"/>
        <v>0.24463582281851576</v>
      </c>
      <c r="V40" s="23">
        <f t="shared" si="0"/>
        <v>0.23733841915660095</v>
      </c>
      <c r="W40" s="28"/>
      <c r="X40" s="20">
        <v>1</v>
      </c>
      <c r="Y40" s="29" t="s">
        <v>63</v>
      </c>
      <c r="Z40" s="8" t="s">
        <v>32</v>
      </c>
      <c r="AA40" s="29" t="s">
        <v>48</v>
      </c>
    </row>
    <row r="41" spans="1:54" ht="18.75" customHeight="1" x14ac:dyDescent="0.2">
      <c r="A41" s="20" t="s">
        <v>27</v>
      </c>
      <c r="B41" s="21" t="s">
        <v>78</v>
      </c>
      <c r="C41" s="21">
        <v>2020</v>
      </c>
      <c r="D41" s="22" t="s">
        <v>79</v>
      </c>
      <c r="E41" s="20"/>
      <c r="F41" s="21">
        <v>13</v>
      </c>
      <c r="G41" s="20">
        <v>37</v>
      </c>
      <c r="H41" s="20"/>
      <c r="I41" s="24">
        <v>60.4</v>
      </c>
      <c r="J41" s="25">
        <f>(217-43)/4</f>
        <v>43.5</v>
      </c>
      <c r="K41" s="21">
        <v>16</v>
      </c>
      <c r="L41" s="36">
        <v>926.2</v>
      </c>
      <c r="M41" s="36"/>
      <c r="N41" s="24">
        <v>53.25</v>
      </c>
      <c r="O41" s="25">
        <f>(65-35.5)/4</f>
        <v>7.375</v>
      </c>
      <c r="P41" s="21">
        <v>17</v>
      </c>
      <c r="Q41" s="21"/>
      <c r="R41" s="27">
        <f t="shared" si="1"/>
        <v>-0.22918075634604099</v>
      </c>
      <c r="S41" s="20">
        <v>1</v>
      </c>
      <c r="T41" s="23">
        <f t="shared" si="2"/>
        <v>-0.23275244948551113</v>
      </c>
      <c r="U41" s="23">
        <f t="shared" si="3"/>
        <v>-0.22707556047366939</v>
      </c>
      <c r="V41" s="23">
        <f t="shared" si="0"/>
        <v>-0.94584539065729623</v>
      </c>
      <c r="W41" s="28"/>
      <c r="X41" s="21">
        <v>4</v>
      </c>
      <c r="Y41" s="8" t="s">
        <v>80</v>
      </c>
      <c r="Z41" s="32" t="s">
        <v>75</v>
      </c>
      <c r="AA41" s="8" t="s">
        <v>81</v>
      </c>
    </row>
    <row r="42" spans="1:54" ht="18.75" customHeight="1" x14ac:dyDescent="0.2">
      <c r="A42" s="20" t="s">
        <v>27</v>
      </c>
      <c r="B42" s="20" t="s">
        <v>82</v>
      </c>
      <c r="C42" s="21">
        <v>2013</v>
      </c>
      <c r="D42" s="22" t="s">
        <v>83</v>
      </c>
      <c r="E42" s="23" t="s">
        <v>84</v>
      </c>
      <c r="F42" s="20">
        <v>14</v>
      </c>
      <c r="G42" s="20">
        <v>38</v>
      </c>
      <c r="H42" s="20"/>
      <c r="I42" s="24">
        <v>93.2</v>
      </c>
      <c r="J42" s="25">
        <v>63.6</v>
      </c>
      <c r="K42" s="21">
        <v>57</v>
      </c>
      <c r="L42" s="30">
        <f>(845.7+774.9)/2</f>
        <v>810.3</v>
      </c>
      <c r="M42" s="30"/>
      <c r="N42" s="24">
        <v>77</v>
      </c>
      <c r="O42" s="25">
        <v>19.7</v>
      </c>
      <c r="P42" s="21">
        <v>46</v>
      </c>
      <c r="Q42" s="20"/>
      <c r="R42" s="27">
        <f t="shared" si="1"/>
        <v>-0.34409526584782579</v>
      </c>
      <c r="S42" s="20">
        <v>1</v>
      </c>
      <c r="T42" s="23">
        <f t="shared" si="2"/>
        <v>-0.32960741787904857</v>
      </c>
      <c r="U42" s="23">
        <f t="shared" si="3"/>
        <v>-0.32715376464421697</v>
      </c>
      <c r="V42" s="23">
        <f t="shared" si="0"/>
        <v>-0.81621342469549463</v>
      </c>
      <c r="W42" s="28"/>
      <c r="X42" s="20">
        <v>3</v>
      </c>
      <c r="Y42" s="29" t="s">
        <v>85</v>
      </c>
      <c r="Z42" s="8" t="s">
        <v>32</v>
      </c>
      <c r="AA42" s="29" t="s">
        <v>85</v>
      </c>
      <c r="AK42" s="8">
        <v>74</v>
      </c>
      <c r="AL42" s="8">
        <v>18</v>
      </c>
      <c r="AM42" s="8">
        <v>46</v>
      </c>
      <c r="BA42" s="8" t="s">
        <v>82</v>
      </c>
      <c r="BB42" s="8">
        <v>17</v>
      </c>
    </row>
    <row r="43" spans="1:54" ht="18.75" customHeight="1" x14ac:dyDescent="0.2">
      <c r="A43" s="20"/>
      <c r="B43" s="20"/>
      <c r="C43" s="21"/>
      <c r="D43" s="22"/>
      <c r="E43" s="23"/>
      <c r="F43" s="37">
        <v>14</v>
      </c>
      <c r="G43" s="37">
        <v>36</v>
      </c>
      <c r="H43" s="37"/>
      <c r="I43" s="24"/>
      <c r="J43" s="25">
        <f>AVERAGE(J9:J42)</f>
        <v>13.160882352941179</v>
      </c>
      <c r="K43" s="38">
        <f>SUM(K42,K41,K40,K30,K31,K33,K29,K22,K21,K13,K11,K9)</f>
        <v>272</v>
      </c>
      <c r="L43" s="25">
        <f>AVERAGE(L9:L42)</f>
        <v>926.74965517241367</v>
      </c>
      <c r="M43" s="39"/>
      <c r="N43" s="40"/>
      <c r="O43" s="25">
        <f>AVERAGE(O9:O14)</f>
        <v>11.24</v>
      </c>
      <c r="P43" s="38">
        <f>SUM(P42,P41,P40,P30,P31,P33,P29,P22,P21,P13,P11,P9)</f>
        <v>287</v>
      </c>
      <c r="Q43" s="20"/>
      <c r="R43" s="21"/>
      <c r="S43" s="20"/>
      <c r="T43" s="41">
        <f>AVERAGE(T9:T42)</f>
        <v>-0.43032908190037855</v>
      </c>
      <c r="U43" s="41">
        <f>AVERAGE(U9:U42)</f>
        <v>-0.4221224305326271</v>
      </c>
      <c r="V43" s="41">
        <f>AVERAGE(V9:V42)</f>
        <v>-0.73647817281974426</v>
      </c>
      <c r="W43" s="28"/>
      <c r="X43" s="20"/>
      <c r="Z43" s="42"/>
      <c r="AA43" s="29"/>
    </row>
    <row r="44" spans="1:54" ht="18.75" customHeight="1" x14ac:dyDescent="0.2">
      <c r="A44" s="20"/>
      <c r="B44" s="20"/>
      <c r="C44" s="21"/>
      <c r="D44" s="43"/>
      <c r="E44" s="23"/>
      <c r="F44" s="20"/>
      <c r="G44" s="20"/>
      <c r="H44" s="20"/>
      <c r="I44" s="24"/>
      <c r="J44" s="25"/>
      <c r="K44" s="21"/>
      <c r="L44" s="30"/>
      <c r="M44" s="30"/>
      <c r="N44" s="24"/>
      <c r="O44" s="25"/>
      <c r="P44" s="21"/>
      <c r="Q44" s="20"/>
      <c r="R44" s="27"/>
      <c r="S44" s="20"/>
      <c r="T44" s="44">
        <f>STDEV(T9:T42)</f>
        <v>0.5055234176210941</v>
      </c>
      <c r="U44" s="44">
        <f>STDEV(U9:U42)</f>
        <v>0.49549535651679727</v>
      </c>
      <c r="V44" s="44">
        <f>STDEV(V9:V42)</f>
        <v>0.94913957991218401</v>
      </c>
      <c r="W44" s="28"/>
      <c r="X44" s="20"/>
      <c r="Z44" s="42"/>
      <c r="AA44" s="29"/>
    </row>
    <row r="45" spans="1:54" ht="18.75" customHeight="1" x14ac:dyDescent="0.2">
      <c r="A45" s="20" t="s">
        <v>86</v>
      </c>
      <c r="B45" s="20" t="s">
        <v>53</v>
      </c>
      <c r="C45" s="21">
        <v>2015</v>
      </c>
      <c r="D45" s="22" t="s">
        <v>87</v>
      </c>
      <c r="E45" s="23" t="s">
        <v>88</v>
      </c>
      <c r="F45" s="20">
        <v>1</v>
      </c>
      <c r="G45" s="20">
        <v>1</v>
      </c>
      <c r="H45" s="20"/>
      <c r="I45" s="34">
        <v>98.14</v>
      </c>
      <c r="J45" s="45">
        <v>13.04</v>
      </c>
      <c r="K45" s="20">
        <v>14</v>
      </c>
      <c r="L45" s="26" t="s">
        <v>44</v>
      </c>
      <c r="M45" s="26"/>
      <c r="N45" s="34">
        <v>100.86</v>
      </c>
      <c r="O45" s="45">
        <v>8.8000000000000007</v>
      </c>
      <c r="P45" s="20">
        <v>14</v>
      </c>
      <c r="Q45" s="20"/>
      <c r="R45" s="27">
        <f t="shared" ref="R45:R50" si="4">(N45-I45)/SQRT((O45^2+J45^2)/2)</f>
        <v>0.24451890614322794</v>
      </c>
      <c r="S45" s="20">
        <v>-1</v>
      </c>
      <c r="T45" s="23">
        <f t="shared" ref="T45:T50" si="5">(N45-I45)/SQRT((((P45-1)*O45^2) + ((K45-1)*J45^2))/(P45+K45-2))*S45</f>
        <v>-0.24451890614322794</v>
      </c>
      <c r="U45" s="23">
        <f t="shared" ref="U45:U50" si="6">T45*(1-(3/(4*(K45+P45-2) -1)))</f>
        <v>-0.2373969962555611</v>
      </c>
      <c r="V45" s="23">
        <f t="shared" ref="V45:V50" si="7">((N45-I45)/O45)*S45 * (1-(3/(4*(K45+P45-2)-1)))</f>
        <v>-0.30008826125330962</v>
      </c>
      <c r="W45" s="28"/>
      <c r="X45" s="31" t="s">
        <v>56</v>
      </c>
      <c r="Y45" s="32" t="s">
        <v>57</v>
      </c>
      <c r="Z45" s="8" t="s">
        <v>32</v>
      </c>
      <c r="AA45" s="32" t="s">
        <v>57</v>
      </c>
      <c r="BA45" s="8" t="s">
        <v>89</v>
      </c>
    </row>
    <row r="46" spans="1:54" ht="18.75" customHeight="1" x14ac:dyDescent="0.2">
      <c r="A46" s="20" t="s">
        <v>86</v>
      </c>
      <c r="B46" s="20" t="s">
        <v>53</v>
      </c>
      <c r="C46" s="21">
        <v>2015</v>
      </c>
      <c r="D46" s="22" t="s">
        <v>90</v>
      </c>
      <c r="E46" s="23" t="s">
        <v>91</v>
      </c>
      <c r="F46" s="20">
        <v>1</v>
      </c>
      <c r="G46" s="20">
        <v>2</v>
      </c>
      <c r="H46" s="20"/>
      <c r="I46" s="34">
        <v>86.86</v>
      </c>
      <c r="J46" s="45">
        <v>23.1</v>
      </c>
      <c r="K46" s="20">
        <v>14</v>
      </c>
      <c r="L46" s="26" t="s">
        <v>44</v>
      </c>
      <c r="M46" s="26"/>
      <c r="N46" s="34">
        <v>108.29</v>
      </c>
      <c r="O46" s="45">
        <v>4.3600000000000003</v>
      </c>
      <c r="P46" s="20">
        <v>14</v>
      </c>
      <c r="Q46" s="20"/>
      <c r="R46" s="27">
        <f t="shared" si="4"/>
        <v>1.2892110723796886</v>
      </c>
      <c r="S46" s="20">
        <v>-1</v>
      </c>
      <c r="T46" s="23">
        <f t="shared" si="5"/>
        <v>-1.2892110723796886</v>
      </c>
      <c r="U46" s="23">
        <f t="shared" si="6"/>
        <v>-1.251661235320086</v>
      </c>
      <c r="V46" s="167">
        <f>((N46-I46)/O46)*S46 * (1-(3/(4*(K46+P46-2)-1)))</f>
        <v>-4.771978266678544</v>
      </c>
      <c r="W46" s="28"/>
      <c r="X46" s="31" t="s">
        <v>56</v>
      </c>
      <c r="Y46" s="32" t="s">
        <v>57</v>
      </c>
      <c r="Z46" s="8" t="s">
        <v>32</v>
      </c>
      <c r="AA46" s="32" t="s">
        <v>57</v>
      </c>
      <c r="AQ46" s="8" t="s">
        <v>92</v>
      </c>
      <c r="AR46" s="8" t="s">
        <v>92</v>
      </c>
    </row>
    <row r="47" spans="1:54" ht="18.75" customHeight="1" x14ac:dyDescent="0.2">
      <c r="A47" s="20" t="s">
        <v>86</v>
      </c>
      <c r="B47" s="20" t="s">
        <v>28</v>
      </c>
      <c r="C47" s="21">
        <v>2004</v>
      </c>
      <c r="D47" s="22" t="s">
        <v>93</v>
      </c>
      <c r="E47" s="23" t="s">
        <v>94</v>
      </c>
      <c r="F47" s="20">
        <v>2</v>
      </c>
      <c r="G47" s="20">
        <v>3</v>
      </c>
      <c r="H47" s="20"/>
      <c r="I47" s="34">
        <v>6.95</v>
      </c>
      <c r="J47" s="45">
        <v>1.67</v>
      </c>
      <c r="K47" s="20">
        <v>20</v>
      </c>
      <c r="L47" s="26">
        <v>858.5</v>
      </c>
      <c r="M47" s="26"/>
      <c r="N47" s="34">
        <v>7.15</v>
      </c>
      <c r="O47" s="45">
        <v>1.1399999999999999</v>
      </c>
      <c r="P47" s="20">
        <v>20</v>
      </c>
      <c r="Q47" s="20"/>
      <c r="R47" s="27">
        <f t="shared" si="4"/>
        <v>0.13988237340926069</v>
      </c>
      <c r="S47" s="20">
        <v>-1</v>
      </c>
      <c r="T47" s="23">
        <f t="shared" si="5"/>
        <v>-0.13988237340926069</v>
      </c>
      <c r="U47" s="23">
        <f t="shared" si="6"/>
        <v>-0.1371032534077522</v>
      </c>
      <c r="V47" s="23">
        <f t="shared" si="7"/>
        <v>-0.17195306146160119</v>
      </c>
      <c r="W47" s="28"/>
      <c r="X47" s="20">
        <v>2</v>
      </c>
      <c r="Y47" s="29" t="s">
        <v>31</v>
      </c>
      <c r="Z47" s="8" t="s">
        <v>32</v>
      </c>
      <c r="AA47" s="29" t="s">
        <v>31</v>
      </c>
      <c r="AQ47" s="8" t="s">
        <v>95</v>
      </c>
      <c r="AR47" s="8" t="s">
        <v>95</v>
      </c>
      <c r="AS47" s="8" t="s">
        <v>96</v>
      </c>
    </row>
    <row r="48" spans="1:54" ht="18.75" customHeight="1" x14ac:dyDescent="0.2">
      <c r="A48" s="20" t="s">
        <v>86</v>
      </c>
      <c r="B48" s="20" t="s">
        <v>28</v>
      </c>
      <c r="C48" s="21">
        <v>2004</v>
      </c>
      <c r="D48" s="22" t="s">
        <v>97</v>
      </c>
      <c r="E48" s="23" t="s">
        <v>98</v>
      </c>
      <c r="F48" s="20">
        <v>2</v>
      </c>
      <c r="G48" s="20">
        <v>4</v>
      </c>
      <c r="H48" s="20"/>
      <c r="I48" s="34">
        <v>0.54</v>
      </c>
      <c r="J48" s="45">
        <v>0.11</v>
      </c>
      <c r="K48" s="20">
        <v>20</v>
      </c>
      <c r="L48" s="26">
        <v>858.5</v>
      </c>
      <c r="M48" s="26"/>
      <c r="N48" s="34">
        <v>0.56999999999999995</v>
      </c>
      <c r="O48" s="45">
        <v>7.0000000000000007E-2</v>
      </c>
      <c r="P48" s="20">
        <v>20</v>
      </c>
      <c r="Q48" s="20"/>
      <c r="R48" s="27">
        <f t="shared" si="4"/>
        <v>0.32539568672798336</v>
      </c>
      <c r="S48" s="20">
        <v>-1</v>
      </c>
      <c r="T48" s="23">
        <f t="shared" si="5"/>
        <v>-0.32539568672798336</v>
      </c>
      <c r="U48" s="23">
        <f t="shared" si="6"/>
        <v>-0.31893087175987772</v>
      </c>
      <c r="V48" s="23">
        <f t="shared" si="7"/>
        <v>-0.42005676442762413</v>
      </c>
      <c r="W48" s="28"/>
      <c r="X48" s="20">
        <v>2</v>
      </c>
      <c r="Y48" s="29" t="s">
        <v>31</v>
      </c>
      <c r="Z48" s="8" t="s">
        <v>32</v>
      </c>
      <c r="AA48" s="29" t="s">
        <v>31</v>
      </c>
    </row>
    <row r="49" spans="1:27" ht="18.75" customHeight="1" x14ac:dyDescent="0.2">
      <c r="A49" s="20" t="s">
        <v>86</v>
      </c>
      <c r="B49" s="20" t="s">
        <v>60</v>
      </c>
      <c r="C49" s="21">
        <v>2017</v>
      </c>
      <c r="D49" s="22" t="s">
        <v>99</v>
      </c>
      <c r="E49" s="23" t="s">
        <v>100</v>
      </c>
      <c r="F49" s="20">
        <v>3</v>
      </c>
      <c r="G49" s="20">
        <v>5</v>
      </c>
      <c r="H49" s="20"/>
      <c r="I49" s="34">
        <v>20.6</v>
      </c>
      <c r="J49" s="45">
        <v>28.2</v>
      </c>
      <c r="K49" s="20">
        <v>37</v>
      </c>
      <c r="L49" s="26">
        <v>720</v>
      </c>
      <c r="M49" s="26"/>
      <c r="N49" s="34">
        <v>2.9</v>
      </c>
      <c r="O49" s="45">
        <v>7.9</v>
      </c>
      <c r="P49" s="20">
        <v>30</v>
      </c>
      <c r="Q49" s="20"/>
      <c r="R49" s="27">
        <f t="shared" si="4"/>
        <v>-0.85473840530477174</v>
      </c>
      <c r="S49" s="20">
        <v>1</v>
      </c>
      <c r="T49" s="23">
        <f t="shared" si="5"/>
        <v>-0.81793370980908064</v>
      </c>
      <c r="U49" s="23">
        <f t="shared" si="6"/>
        <v>-0.80845957417422643</v>
      </c>
      <c r="V49" s="23">
        <f t="shared" si="7"/>
        <v>-2.2145545183519872</v>
      </c>
      <c r="W49" s="28"/>
      <c r="X49" s="20">
        <v>1</v>
      </c>
      <c r="Y49" s="29" t="s">
        <v>63</v>
      </c>
      <c r="Z49" s="8" t="s">
        <v>32</v>
      </c>
      <c r="AA49" s="29" t="s">
        <v>48</v>
      </c>
    </row>
    <row r="50" spans="1:27" ht="18.75" customHeight="1" x14ac:dyDescent="0.2">
      <c r="A50" s="20" t="s">
        <v>86</v>
      </c>
      <c r="B50" s="135" t="s">
        <v>509</v>
      </c>
      <c r="C50" s="21">
        <v>2021</v>
      </c>
      <c r="D50" s="22" t="s">
        <v>87</v>
      </c>
      <c r="E50" s="23"/>
      <c r="F50" s="20">
        <v>4</v>
      </c>
      <c r="G50" s="20">
        <v>6</v>
      </c>
      <c r="H50" s="20"/>
      <c r="I50" s="34">
        <v>16</v>
      </c>
      <c r="J50" s="45">
        <f>(18-14)/1.35</f>
        <v>2.9629629629629628</v>
      </c>
      <c r="K50" s="20">
        <v>19</v>
      </c>
      <c r="L50" s="26">
        <v>890</v>
      </c>
      <c r="M50" s="26"/>
      <c r="N50" s="34">
        <v>18</v>
      </c>
      <c r="O50" s="45">
        <f>(19-17)/1.35</f>
        <v>1.4814814814814814</v>
      </c>
      <c r="P50" s="20">
        <v>25</v>
      </c>
      <c r="Q50" s="20"/>
      <c r="R50" s="27">
        <f t="shared" si="4"/>
        <v>0.85381496824546244</v>
      </c>
      <c r="S50" s="20">
        <v>-1</v>
      </c>
      <c r="T50" s="23">
        <f t="shared" si="5"/>
        <v>-0.89294106748429947</v>
      </c>
      <c r="U50" s="23">
        <f t="shared" si="6"/>
        <v>-0.87690020998458151</v>
      </c>
      <c r="V50" s="23">
        <f t="shared" si="7"/>
        <v>-1.3257485029940119</v>
      </c>
      <c r="W50" s="28"/>
      <c r="X50" s="20"/>
      <c r="AA50" s="29"/>
    </row>
    <row r="51" spans="1:27" ht="18.75" customHeight="1" x14ac:dyDescent="0.2">
      <c r="A51" s="20"/>
      <c r="B51" s="20"/>
      <c r="C51" s="21"/>
      <c r="D51" s="22"/>
      <c r="E51" s="23"/>
      <c r="F51" s="20">
        <v>3</v>
      </c>
      <c r="G51" s="20">
        <v>5</v>
      </c>
      <c r="H51" s="20"/>
      <c r="I51" s="34"/>
      <c r="J51" s="25">
        <f>AVERAGE(J45:J49)</f>
        <v>13.224</v>
      </c>
      <c r="K51" s="39">
        <f>SUM(K49,K48,K46)</f>
        <v>71</v>
      </c>
      <c r="L51" s="39">
        <f>AVERAGE(L49,L48,L46)</f>
        <v>789.25</v>
      </c>
      <c r="M51" s="39"/>
      <c r="N51" s="46"/>
      <c r="O51" s="25">
        <f>AVERAGE(O45:O49)</f>
        <v>4.4540000000000006</v>
      </c>
      <c r="P51" s="39">
        <f>SUM(P45:P50)</f>
        <v>123</v>
      </c>
      <c r="Q51" s="20"/>
      <c r="R51" s="27"/>
      <c r="S51" s="20"/>
      <c r="T51" s="41">
        <f>AVERAGE(T45:T50)</f>
        <v>-0.61831380265892344</v>
      </c>
      <c r="U51" s="41">
        <f>AVERAGE(U45:U50)</f>
        <v>-0.6050753568170143</v>
      </c>
      <c r="V51" s="41">
        <f>AVERAGE(V45:V50)</f>
        <v>-1.5340632291945129</v>
      </c>
      <c r="W51" s="28"/>
      <c r="X51" s="20"/>
      <c r="AA51" s="29"/>
    </row>
    <row r="52" spans="1:27" ht="18.75" customHeight="1" x14ac:dyDescent="0.2">
      <c r="A52" s="20"/>
      <c r="B52" s="20"/>
      <c r="C52" s="21"/>
      <c r="D52" s="43"/>
      <c r="E52" s="23"/>
      <c r="F52" s="20"/>
      <c r="G52" s="20"/>
      <c r="H52" s="20"/>
      <c r="I52" s="24"/>
      <c r="J52" s="25"/>
      <c r="K52" s="20"/>
      <c r="L52" s="26"/>
      <c r="M52" s="26"/>
      <c r="N52" s="24"/>
      <c r="O52" s="25"/>
      <c r="P52" s="20"/>
      <c r="Q52" s="20"/>
      <c r="R52" s="27"/>
      <c r="S52" s="20"/>
      <c r="T52" s="44">
        <f>STDEV(T45:T50)</f>
        <v>0.45161746384090762</v>
      </c>
      <c r="U52" s="44">
        <f>STDEV(U45:U50)</f>
        <v>0.44031605050741102</v>
      </c>
      <c r="V52" s="44">
        <f>STDEV(V45:V50)</f>
        <v>1.7668959190527156</v>
      </c>
      <c r="W52" s="28"/>
      <c r="X52" s="20"/>
      <c r="AA52" s="29"/>
    </row>
    <row r="53" spans="1:27" ht="18.75" customHeight="1" x14ac:dyDescent="0.2">
      <c r="A53" s="20" t="s">
        <v>101</v>
      </c>
      <c r="B53" s="20" t="s">
        <v>60</v>
      </c>
      <c r="C53" s="21">
        <v>2017</v>
      </c>
      <c r="D53" s="22" t="s">
        <v>102</v>
      </c>
      <c r="E53" s="20" t="s">
        <v>103</v>
      </c>
      <c r="F53" s="20">
        <v>1</v>
      </c>
      <c r="G53" s="20">
        <v>1</v>
      </c>
      <c r="H53" s="20"/>
      <c r="I53" s="24">
        <v>0.5</v>
      </c>
      <c r="J53" s="25">
        <v>1.1000000000000001</v>
      </c>
      <c r="K53" s="21">
        <v>37</v>
      </c>
      <c r="L53" s="26">
        <v>720</v>
      </c>
      <c r="M53" s="26"/>
      <c r="N53" s="24">
        <v>0.8</v>
      </c>
      <c r="O53" s="25">
        <v>1</v>
      </c>
      <c r="P53" s="21">
        <v>30</v>
      </c>
      <c r="Q53" s="21"/>
      <c r="R53" s="27">
        <f t="shared" ref="R53:R71" si="8">(N53-I53)/SQRT((O53^2+J53^2)/2)</f>
        <v>0.2853908964926965</v>
      </c>
      <c r="S53" s="20">
        <v>1</v>
      </c>
      <c r="T53" s="23">
        <f t="shared" ref="T53:T71" si="9">(N53-I53)/SQRT((((P53-1)*O53^2) + ((K53-1)*J53^2))/(P53+K53-2))*S53</f>
        <v>0.2839417770341558</v>
      </c>
      <c r="U53" s="23">
        <f t="shared" ref="U53:U71" si="10">T53*(1-(3/(4*(K53+P53-2) -1)))</f>
        <v>0.28065287614186829</v>
      </c>
      <c r="V53" s="23">
        <f t="shared" ref="V53:V71" si="11">((N53-I53)/O53)*S53 * (1-(3/(4*(K53+P53-2)-1)))</f>
        <v>0.29652509652509657</v>
      </c>
      <c r="W53" s="28"/>
      <c r="X53" s="20">
        <v>1</v>
      </c>
      <c r="Y53" s="29" t="s">
        <v>63</v>
      </c>
      <c r="Z53" s="8" t="s">
        <v>32</v>
      </c>
      <c r="AA53" s="29" t="s">
        <v>48</v>
      </c>
    </row>
    <row r="54" spans="1:27" ht="18.75" customHeight="1" x14ac:dyDescent="0.2">
      <c r="A54" s="20" t="s">
        <v>101</v>
      </c>
      <c r="B54" s="20" t="s">
        <v>60</v>
      </c>
      <c r="C54" s="21">
        <v>2017</v>
      </c>
      <c r="D54" s="22" t="s">
        <v>104</v>
      </c>
      <c r="E54" s="20" t="s">
        <v>105</v>
      </c>
      <c r="F54" s="20">
        <v>1</v>
      </c>
      <c r="G54" s="20">
        <v>1</v>
      </c>
      <c r="H54" s="20"/>
      <c r="I54" s="24">
        <v>111.3</v>
      </c>
      <c r="J54" s="25">
        <v>86.7</v>
      </c>
      <c r="K54" s="21">
        <v>37</v>
      </c>
      <c r="L54" s="26">
        <v>720</v>
      </c>
      <c r="M54" s="26"/>
      <c r="N54" s="24">
        <v>94.3</v>
      </c>
      <c r="O54" s="25">
        <v>51.9</v>
      </c>
      <c r="P54" s="21">
        <v>30</v>
      </c>
      <c r="Q54" s="21"/>
      <c r="R54" s="27">
        <f t="shared" si="8"/>
        <v>-0.23792518429246062</v>
      </c>
      <c r="S54" s="20">
        <v>1</v>
      </c>
      <c r="T54" s="23">
        <f t="shared" si="9"/>
        <v>-0.23209483280355711</v>
      </c>
      <c r="U54" s="23">
        <f t="shared" si="10"/>
        <v>-0.22940647566683639</v>
      </c>
      <c r="V54" s="23">
        <f t="shared" si="11"/>
        <v>-0.32375893647569948</v>
      </c>
      <c r="W54" s="28"/>
      <c r="X54" s="20">
        <v>1</v>
      </c>
      <c r="Y54" s="29" t="s">
        <v>63</v>
      </c>
      <c r="Z54" s="8" t="s">
        <v>32</v>
      </c>
      <c r="AA54" s="29" t="s">
        <v>48</v>
      </c>
    </row>
    <row r="55" spans="1:27" ht="18.75" customHeight="1" x14ac:dyDescent="0.2">
      <c r="A55" s="20" t="s">
        <v>101</v>
      </c>
      <c r="B55" s="20" t="s">
        <v>106</v>
      </c>
      <c r="C55" s="21">
        <v>2011</v>
      </c>
      <c r="D55" s="22" t="s">
        <v>107</v>
      </c>
      <c r="E55" s="20" t="s">
        <v>108</v>
      </c>
      <c r="F55" s="20">
        <v>2</v>
      </c>
      <c r="G55" s="20">
        <v>2</v>
      </c>
      <c r="H55" s="20"/>
      <c r="I55" s="24">
        <v>167</v>
      </c>
      <c r="J55" s="25">
        <v>81.3</v>
      </c>
      <c r="K55" s="21">
        <v>8</v>
      </c>
      <c r="L55" s="26">
        <v>1140</v>
      </c>
      <c r="M55" s="26"/>
      <c r="N55" s="24">
        <v>157.19999999999999</v>
      </c>
      <c r="O55" s="25">
        <v>80.900000000000006</v>
      </c>
      <c r="P55" s="21">
        <v>15</v>
      </c>
      <c r="Q55" s="21"/>
      <c r="R55" s="27">
        <f t="shared" si="8"/>
        <v>-0.12083810357911694</v>
      </c>
      <c r="S55" s="20">
        <v>1</v>
      </c>
      <c r="T55" s="23">
        <f t="shared" si="9"/>
        <v>-0.12093755821964521</v>
      </c>
      <c r="U55" s="23">
        <f t="shared" si="10"/>
        <v>-0.11656632117556165</v>
      </c>
      <c r="V55" s="23">
        <f t="shared" si="11"/>
        <v>-0.11675875318331434</v>
      </c>
      <c r="W55" s="28"/>
      <c r="X55" s="20">
        <v>1</v>
      </c>
      <c r="Y55" s="29" t="s">
        <v>63</v>
      </c>
      <c r="Z55" s="29" t="s">
        <v>109</v>
      </c>
      <c r="AA55" s="29" t="s">
        <v>48</v>
      </c>
    </row>
    <row r="56" spans="1:27" ht="18.75" customHeight="1" x14ac:dyDescent="0.2">
      <c r="A56" s="20" t="s">
        <v>101</v>
      </c>
      <c r="B56" s="20" t="s">
        <v>110</v>
      </c>
      <c r="C56" s="21">
        <v>2011</v>
      </c>
      <c r="D56" s="22" t="s">
        <v>107</v>
      </c>
      <c r="E56" s="20" t="s">
        <v>111</v>
      </c>
      <c r="F56" s="20">
        <v>3</v>
      </c>
      <c r="G56" s="20">
        <v>3</v>
      </c>
      <c r="H56" s="20"/>
      <c r="I56" s="24">
        <v>121.5</v>
      </c>
      <c r="J56" s="25">
        <v>64</v>
      </c>
      <c r="K56" s="21">
        <v>9</v>
      </c>
      <c r="L56" s="26">
        <v>1210</v>
      </c>
      <c r="M56" s="26"/>
      <c r="N56" s="24">
        <v>124.1</v>
      </c>
      <c r="O56" s="25">
        <v>98.6</v>
      </c>
      <c r="P56" s="21">
        <v>15</v>
      </c>
      <c r="Q56" s="21"/>
      <c r="R56" s="27">
        <f t="shared" si="8"/>
        <v>3.1279973771031075E-2</v>
      </c>
      <c r="S56" s="20">
        <v>1</v>
      </c>
      <c r="T56" s="23">
        <f t="shared" si="9"/>
        <v>2.9675732086079119E-2</v>
      </c>
      <c r="U56" s="23">
        <f t="shared" si="10"/>
        <v>2.8652430979662601E-2</v>
      </c>
      <c r="V56" s="23">
        <f t="shared" si="11"/>
        <v>2.5459886689515231E-2</v>
      </c>
      <c r="W56" s="28"/>
      <c r="X56" s="20">
        <v>1</v>
      </c>
      <c r="Y56" s="29" t="s">
        <v>63</v>
      </c>
      <c r="Z56" s="29" t="s">
        <v>109</v>
      </c>
      <c r="AA56" s="29" t="s">
        <v>48</v>
      </c>
    </row>
    <row r="57" spans="1:27" ht="18.75" customHeight="1" x14ac:dyDescent="0.2">
      <c r="A57" s="20" t="s">
        <v>101</v>
      </c>
      <c r="B57" s="47" t="s">
        <v>112</v>
      </c>
      <c r="C57" s="21">
        <v>1996</v>
      </c>
      <c r="D57" s="22" t="s">
        <v>113</v>
      </c>
      <c r="E57" s="96" t="s">
        <v>114</v>
      </c>
      <c r="F57" s="21">
        <v>4</v>
      </c>
      <c r="G57" s="20">
        <v>4</v>
      </c>
      <c r="H57" s="20"/>
      <c r="I57" s="24">
        <v>52.3</v>
      </c>
      <c r="J57" s="25">
        <v>8.14</v>
      </c>
      <c r="K57" s="21">
        <v>8</v>
      </c>
      <c r="L57" s="26">
        <v>1253.0999999999999</v>
      </c>
      <c r="M57" s="26"/>
      <c r="N57" s="24">
        <v>54</v>
      </c>
      <c r="O57" s="25">
        <v>6.12</v>
      </c>
      <c r="P57" s="21">
        <v>8</v>
      </c>
      <c r="Q57" s="21"/>
      <c r="R57" s="27">
        <f t="shared" si="8"/>
        <v>0.23607240642412908</v>
      </c>
      <c r="S57" s="20">
        <v>1</v>
      </c>
      <c r="T57" s="23">
        <f t="shared" si="9"/>
        <v>0.23607240642412908</v>
      </c>
      <c r="U57" s="23">
        <f t="shared" si="10"/>
        <v>0.22319572971008567</v>
      </c>
      <c r="V57" s="23">
        <f t="shared" si="11"/>
        <v>0.26262626262626304</v>
      </c>
      <c r="W57" s="28"/>
      <c r="X57" s="48" t="s">
        <v>75</v>
      </c>
      <c r="Y57" s="42" t="s">
        <v>75</v>
      </c>
      <c r="Z57" s="8" t="s">
        <v>32</v>
      </c>
      <c r="AA57" s="42" t="s">
        <v>75</v>
      </c>
    </row>
    <row r="58" spans="1:27" ht="18.75" customHeight="1" x14ac:dyDescent="0.2">
      <c r="A58" s="20" t="s">
        <v>101</v>
      </c>
      <c r="B58" s="20" t="s">
        <v>115</v>
      </c>
      <c r="C58" s="21">
        <v>2005</v>
      </c>
      <c r="D58" s="22" t="s">
        <v>116</v>
      </c>
      <c r="E58" s="20" t="s">
        <v>117</v>
      </c>
      <c r="F58" s="20">
        <v>5</v>
      </c>
      <c r="G58" s="20">
        <v>5</v>
      </c>
      <c r="H58" s="20"/>
      <c r="I58" s="24">
        <v>1.7</v>
      </c>
      <c r="J58" s="49">
        <f>SQRT((1.03/SQRT(25))^2 + (3.41/SQRT(25))^2)</f>
        <v>0.71243245293852253</v>
      </c>
      <c r="K58" s="21">
        <v>25</v>
      </c>
      <c r="L58" s="26">
        <v>758.79</v>
      </c>
      <c r="M58" s="26"/>
      <c r="N58" s="24">
        <v>1.9</v>
      </c>
      <c r="O58" s="49">
        <f>SQRT((1.91/SQRT(25))^2 + (2.861/SQRT(25))^2)</f>
        <v>0.68799479649195028</v>
      </c>
      <c r="P58" s="21">
        <v>25</v>
      </c>
      <c r="Q58" s="21"/>
      <c r="R58" s="27">
        <f t="shared" si="8"/>
        <v>0.28558364068272346</v>
      </c>
      <c r="S58" s="20">
        <v>1</v>
      </c>
      <c r="T58" s="23">
        <f t="shared" si="9"/>
        <v>0.28558364068272346</v>
      </c>
      <c r="U58" s="23">
        <f t="shared" si="10"/>
        <v>0.28109803376100528</v>
      </c>
      <c r="V58" s="23">
        <f t="shared" si="11"/>
        <v>0.28613390645863518</v>
      </c>
      <c r="W58" s="28"/>
      <c r="X58" s="20">
        <v>2</v>
      </c>
      <c r="Y58" s="29" t="s">
        <v>31</v>
      </c>
      <c r="Z58" s="8" t="s">
        <v>32</v>
      </c>
      <c r="AA58" s="29" t="s">
        <v>31</v>
      </c>
    </row>
    <row r="59" spans="1:27" ht="18.75" customHeight="1" x14ac:dyDescent="0.2">
      <c r="A59" s="20" t="s">
        <v>101</v>
      </c>
      <c r="B59" s="20" t="s">
        <v>115</v>
      </c>
      <c r="C59" s="21">
        <v>2005</v>
      </c>
      <c r="D59" s="22" t="s">
        <v>118</v>
      </c>
      <c r="E59" s="20" t="s">
        <v>119</v>
      </c>
      <c r="F59" s="20">
        <v>5</v>
      </c>
      <c r="G59" s="20">
        <v>6</v>
      </c>
      <c r="H59" s="20"/>
      <c r="I59" s="24">
        <v>0.02</v>
      </c>
      <c r="J59" s="50">
        <f>SQRT((0.06/SQRT(25))^2 + (0.05/SQRT(25))^2)</f>
        <v>1.5620499351813309E-2</v>
      </c>
      <c r="K59" s="21">
        <v>25</v>
      </c>
      <c r="L59" s="26">
        <v>758.79</v>
      </c>
      <c r="M59" s="26"/>
      <c r="N59" s="24">
        <v>0.03</v>
      </c>
      <c r="O59" s="50">
        <f>SQRT((0.04/SQRT(25))^2 + (0.05/SQRT(25))^2)</f>
        <v>1.2806248474865698E-2</v>
      </c>
      <c r="P59" s="21">
        <v>25</v>
      </c>
      <c r="Q59" s="21"/>
      <c r="R59" s="27">
        <f t="shared" si="8"/>
        <v>0.7001400420140047</v>
      </c>
      <c r="S59" s="20">
        <v>1</v>
      </c>
      <c r="T59" s="23">
        <f t="shared" si="9"/>
        <v>0.70014004201400482</v>
      </c>
      <c r="U59" s="23">
        <f t="shared" si="10"/>
        <v>0.68914307800331365</v>
      </c>
      <c r="V59" s="23">
        <f t="shared" si="11"/>
        <v>0.7686038543208884</v>
      </c>
      <c r="W59" s="28"/>
      <c r="X59" s="20">
        <v>2</v>
      </c>
      <c r="Y59" s="29" t="s">
        <v>31</v>
      </c>
      <c r="Z59" s="8" t="s">
        <v>32</v>
      </c>
      <c r="AA59" s="29" t="s">
        <v>31</v>
      </c>
    </row>
    <row r="60" spans="1:27" ht="18.75" customHeight="1" x14ac:dyDescent="0.2">
      <c r="A60" s="20" t="s">
        <v>101</v>
      </c>
      <c r="B60" s="20" t="s">
        <v>120</v>
      </c>
      <c r="C60" s="21">
        <v>2007</v>
      </c>
      <c r="D60" s="22" t="s">
        <v>121</v>
      </c>
      <c r="E60" s="20" t="s">
        <v>122</v>
      </c>
      <c r="F60" s="20">
        <v>6</v>
      </c>
      <c r="G60" s="20">
        <v>7</v>
      </c>
      <c r="H60" s="20"/>
      <c r="I60" s="24">
        <v>0.95</v>
      </c>
      <c r="J60" s="25">
        <v>0.55000000000000004</v>
      </c>
      <c r="K60" s="21">
        <v>25</v>
      </c>
      <c r="L60" s="26">
        <v>1285.68</v>
      </c>
      <c r="M60" s="26"/>
      <c r="N60" s="24">
        <v>2.06</v>
      </c>
      <c r="O60" s="25">
        <v>0.48</v>
      </c>
      <c r="P60" s="21">
        <v>45</v>
      </c>
      <c r="Q60" s="21"/>
      <c r="R60" s="27">
        <f t="shared" si="8"/>
        <v>2.1503795263481309</v>
      </c>
      <c r="S60" s="20">
        <v>1</v>
      </c>
      <c r="T60" s="23">
        <f t="shared" si="9"/>
        <v>2.194485746614788</v>
      </c>
      <c r="U60" s="23">
        <f t="shared" si="10"/>
        <v>2.1701925464677609</v>
      </c>
      <c r="V60" s="23">
        <f t="shared" si="11"/>
        <v>2.2869003690036904</v>
      </c>
      <c r="W60" s="28"/>
      <c r="X60" s="20">
        <v>2</v>
      </c>
      <c r="Y60" s="29" t="s">
        <v>31</v>
      </c>
      <c r="Z60" s="8" t="s">
        <v>32</v>
      </c>
      <c r="AA60" s="29" t="s">
        <v>31</v>
      </c>
    </row>
    <row r="61" spans="1:27" ht="18.75" customHeight="1" x14ac:dyDescent="0.2">
      <c r="A61" s="20" t="s">
        <v>101</v>
      </c>
      <c r="B61" s="20" t="s">
        <v>120</v>
      </c>
      <c r="C61" s="21">
        <v>2007</v>
      </c>
      <c r="D61" s="22" t="s">
        <v>123</v>
      </c>
      <c r="E61" s="20" t="s">
        <v>124</v>
      </c>
      <c r="F61" s="20">
        <v>6</v>
      </c>
      <c r="G61" s="20">
        <v>8</v>
      </c>
      <c r="H61" s="20"/>
      <c r="I61" s="24">
        <v>0.06</v>
      </c>
      <c r="J61" s="50">
        <v>0.02</v>
      </c>
      <c r="K61" s="21">
        <v>25</v>
      </c>
      <c r="L61" s="26">
        <v>1286.68</v>
      </c>
      <c r="M61" s="26"/>
      <c r="N61" s="24">
        <v>0.03</v>
      </c>
      <c r="O61" s="50">
        <v>0.01</v>
      </c>
      <c r="P61" s="21">
        <v>45</v>
      </c>
      <c r="Q61" s="21"/>
      <c r="R61" s="27">
        <f t="shared" si="8"/>
        <v>-1.8973665961010278</v>
      </c>
      <c r="S61" s="20">
        <v>1</v>
      </c>
      <c r="T61" s="23">
        <f t="shared" si="9"/>
        <v>-2.0907961573115084</v>
      </c>
      <c r="U61" s="23">
        <f t="shared" si="10"/>
        <v>-2.0676508123966211</v>
      </c>
      <c r="V61" s="23">
        <f t="shared" si="11"/>
        <v>-2.9667896678966792</v>
      </c>
      <c r="W61" s="28"/>
      <c r="X61" s="20">
        <v>2</v>
      </c>
      <c r="Y61" s="29" t="s">
        <v>31</v>
      </c>
      <c r="Z61" s="8" t="s">
        <v>32</v>
      </c>
      <c r="AA61" s="29" t="s">
        <v>31</v>
      </c>
    </row>
    <row r="62" spans="1:27" ht="18.75" customHeight="1" x14ac:dyDescent="0.2">
      <c r="A62" s="20" t="s">
        <v>101</v>
      </c>
      <c r="B62" s="20" t="s">
        <v>28</v>
      </c>
      <c r="C62" s="21">
        <v>2004</v>
      </c>
      <c r="D62" s="22" t="s">
        <v>125</v>
      </c>
      <c r="E62" s="20" t="s">
        <v>126</v>
      </c>
      <c r="F62" s="20">
        <v>7</v>
      </c>
      <c r="G62" s="20">
        <v>9</v>
      </c>
      <c r="H62" s="20"/>
      <c r="I62" s="24">
        <v>0.56999999999999995</v>
      </c>
      <c r="J62" s="25">
        <v>0.32</v>
      </c>
      <c r="K62" s="21">
        <v>20</v>
      </c>
      <c r="L62" s="26">
        <v>858.5</v>
      </c>
      <c r="M62" s="26"/>
      <c r="N62" s="24">
        <v>0.75</v>
      </c>
      <c r="O62" s="25">
        <v>0.53</v>
      </c>
      <c r="P62" s="21">
        <v>20</v>
      </c>
      <c r="Q62" s="21"/>
      <c r="R62" s="27">
        <f t="shared" si="8"/>
        <v>0.4111668505267474</v>
      </c>
      <c r="S62" s="20">
        <v>-1</v>
      </c>
      <c r="T62" s="23">
        <f t="shared" si="9"/>
        <v>-0.4111668505267474</v>
      </c>
      <c r="U62" s="23">
        <f t="shared" si="10"/>
        <v>-0.40299797270171267</v>
      </c>
      <c r="V62" s="23">
        <f t="shared" si="11"/>
        <v>-0.33287517181057114</v>
      </c>
      <c r="W62" s="28"/>
      <c r="X62" s="20">
        <v>2</v>
      </c>
      <c r="Y62" s="29" t="s">
        <v>31</v>
      </c>
      <c r="Z62" s="8" t="s">
        <v>32</v>
      </c>
      <c r="AA62" s="29" t="s">
        <v>31</v>
      </c>
    </row>
    <row r="63" spans="1:27" ht="18.75" customHeight="1" x14ac:dyDescent="0.2">
      <c r="A63" s="20" t="s">
        <v>101</v>
      </c>
      <c r="B63" s="20" t="s">
        <v>127</v>
      </c>
      <c r="C63" s="21">
        <v>2018</v>
      </c>
      <c r="D63" s="22" t="s">
        <v>128</v>
      </c>
      <c r="E63" s="20" t="s">
        <v>129</v>
      </c>
      <c r="F63" s="20">
        <v>1</v>
      </c>
      <c r="G63" s="20">
        <v>10</v>
      </c>
      <c r="H63" s="20"/>
      <c r="I63" s="24">
        <v>1.5</v>
      </c>
      <c r="J63" s="25">
        <v>2</v>
      </c>
      <c r="K63" s="21">
        <v>15</v>
      </c>
      <c r="L63" s="26">
        <v>751.2</v>
      </c>
      <c r="M63" s="26"/>
      <c r="N63" s="24">
        <v>1</v>
      </c>
      <c r="O63" s="25">
        <v>1.8</v>
      </c>
      <c r="P63" s="21">
        <v>24</v>
      </c>
      <c r="Q63" s="21"/>
      <c r="R63" s="27">
        <f t="shared" si="8"/>
        <v>-0.26279416561381835</v>
      </c>
      <c r="S63" s="20">
        <v>1</v>
      </c>
      <c r="T63" s="23">
        <f t="shared" si="9"/>
        <v>-0.26621488443561131</v>
      </c>
      <c r="U63" s="23">
        <f t="shared" si="10"/>
        <v>-0.26078192761039476</v>
      </c>
      <c r="V63" s="23">
        <f t="shared" si="11"/>
        <v>-0.27210884353741499</v>
      </c>
      <c r="W63" s="28"/>
      <c r="X63" s="20">
        <v>1</v>
      </c>
      <c r="Y63" s="29" t="s">
        <v>63</v>
      </c>
      <c r="Z63" s="8" t="s">
        <v>32</v>
      </c>
      <c r="AA63" s="29" t="s">
        <v>48</v>
      </c>
    </row>
    <row r="64" spans="1:27" ht="18.75" customHeight="1" x14ac:dyDescent="0.2">
      <c r="A64" s="20" t="s">
        <v>101</v>
      </c>
      <c r="B64" s="20" t="s">
        <v>127</v>
      </c>
      <c r="C64" s="21">
        <v>2018</v>
      </c>
      <c r="D64" s="22" t="s">
        <v>130</v>
      </c>
      <c r="E64" s="20" t="s">
        <v>131</v>
      </c>
      <c r="F64" s="20">
        <v>1</v>
      </c>
      <c r="G64" s="20">
        <v>11</v>
      </c>
      <c r="H64" s="20"/>
      <c r="I64" s="24">
        <v>0.7</v>
      </c>
      <c r="J64" s="25">
        <v>1.4</v>
      </c>
      <c r="K64" s="21">
        <v>15</v>
      </c>
      <c r="L64" s="26">
        <v>751.2</v>
      </c>
      <c r="M64" s="26"/>
      <c r="N64" s="24">
        <v>1.3</v>
      </c>
      <c r="O64" s="25">
        <v>2</v>
      </c>
      <c r="P64" s="21">
        <v>24</v>
      </c>
      <c r="Q64" s="21"/>
      <c r="R64" s="27">
        <f t="shared" si="8"/>
        <v>0.34757066781809542</v>
      </c>
      <c r="S64" s="20">
        <v>1</v>
      </c>
      <c r="T64" s="23">
        <f t="shared" si="9"/>
        <v>0.33394674525605611</v>
      </c>
      <c r="U64" s="23">
        <f t="shared" si="10"/>
        <v>0.32713150555695292</v>
      </c>
      <c r="V64" s="23">
        <f t="shared" si="11"/>
        <v>0.29387755102040819</v>
      </c>
      <c r="W64" s="28"/>
      <c r="X64" s="20">
        <v>1</v>
      </c>
      <c r="Y64" s="29" t="s">
        <v>63</v>
      </c>
      <c r="Z64" s="8" t="s">
        <v>32</v>
      </c>
      <c r="AA64" s="29" t="s">
        <v>48</v>
      </c>
    </row>
    <row r="65" spans="1:28" ht="18.75" customHeight="1" x14ac:dyDescent="0.2">
      <c r="A65" s="20" t="s">
        <v>101</v>
      </c>
      <c r="B65" s="20" t="s">
        <v>127</v>
      </c>
      <c r="C65" s="21">
        <v>2018</v>
      </c>
      <c r="D65" s="22" t="s">
        <v>132</v>
      </c>
      <c r="E65" s="20" t="s">
        <v>133</v>
      </c>
      <c r="F65" s="20">
        <v>1</v>
      </c>
      <c r="G65" s="20">
        <v>12</v>
      </c>
      <c r="H65" s="26"/>
      <c r="I65" s="24">
        <v>85.9</v>
      </c>
      <c r="J65" s="25">
        <v>16.7</v>
      </c>
      <c r="K65" s="21">
        <v>15</v>
      </c>
      <c r="L65" s="26">
        <v>751.2</v>
      </c>
      <c r="M65" s="26"/>
      <c r="N65" s="24">
        <v>75.7</v>
      </c>
      <c r="O65" s="25">
        <v>19.2</v>
      </c>
      <c r="P65" s="21">
        <v>24</v>
      </c>
      <c r="Q65" s="21"/>
      <c r="R65" s="27">
        <f t="shared" si="8"/>
        <v>-0.56687228263993794</v>
      </c>
      <c r="S65" s="20">
        <v>1</v>
      </c>
      <c r="T65" s="23">
        <f t="shared" si="9"/>
        <v>-0.55755143881517988</v>
      </c>
      <c r="U65" s="23">
        <f t="shared" si="10"/>
        <v>-0.54617283802303329</v>
      </c>
      <c r="V65" s="23">
        <f t="shared" si="11"/>
        <v>-0.52040816326530637</v>
      </c>
      <c r="W65" s="28"/>
      <c r="X65" s="20">
        <v>1</v>
      </c>
      <c r="Y65" s="29" t="s">
        <v>63</v>
      </c>
      <c r="Z65" s="8" t="s">
        <v>32</v>
      </c>
      <c r="AA65" s="29" t="s">
        <v>48</v>
      </c>
    </row>
    <row r="66" spans="1:28" ht="18.75" customHeight="1" x14ac:dyDescent="0.2">
      <c r="A66" s="20" t="s">
        <v>101</v>
      </c>
      <c r="B66" s="20" t="s">
        <v>60</v>
      </c>
      <c r="C66" s="21">
        <v>2017</v>
      </c>
      <c r="D66" s="22" t="s">
        <v>134</v>
      </c>
      <c r="E66" s="20" t="s">
        <v>135</v>
      </c>
      <c r="F66" s="20">
        <v>1</v>
      </c>
      <c r="G66" s="20">
        <v>13</v>
      </c>
      <c r="H66" s="20"/>
      <c r="I66" s="24">
        <v>1.3</v>
      </c>
      <c r="J66" s="25">
        <v>2</v>
      </c>
      <c r="K66" s="21">
        <v>37</v>
      </c>
      <c r="L66" s="26">
        <v>720</v>
      </c>
      <c r="M66" s="26"/>
      <c r="N66" s="24">
        <v>1.1000000000000001</v>
      </c>
      <c r="O66" s="25">
        <v>1.6</v>
      </c>
      <c r="P66" s="21">
        <v>30</v>
      </c>
      <c r="Q66" s="21"/>
      <c r="R66" s="27">
        <f t="shared" si="8"/>
        <v>-0.11043152607484651</v>
      </c>
      <c r="S66" s="20">
        <v>1</v>
      </c>
      <c r="T66" s="23">
        <f t="shared" si="9"/>
        <v>-0.10914893373767046</v>
      </c>
      <c r="U66" s="23">
        <f t="shared" si="10"/>
        <v>-0.10788466037391366</v>
      </c>
      <c r="V66" s="23">
        <f t="shared" si="11"/>
        <v>-0.12355212355212353</v>
      </c>
      <c r="W66" s="28"/>
      <c r="X66" s="20">
        <v>1</v>
      </c>
      <c r="Y66" s="29" t="s">
        <v>63</v>
      </c>
      <c r="Z66" s="8" t="s">
        <v>32</v>
      </c>
      <c r="AA66" s="29" t="s">
        <v>48</v>
      </c>
    </row>
    <row r="67" spans="1:28" ht="18.75" customHeight="1" x14ac:dyDescent="0.2">
      <c r="A67" s="20" t="s">
        <v>101</v>
      </c>
      <c r="B67" s="20" t="s">
        <v>60</v>
      </c>
      <c r="C67" s="21">
        <v>2017</v>
      </c>
      <c r="D67" s="22" t="s">
        <v>136</v>
      </c>
      <c r="E67" s="20" t="s">
        <v>137</v>
      </c>
      <c r="F67" s="20">
        <v>1</v>
      </c>
      <c r="G67" s="20">
        <v>14</v>
      </c>
      <c r="H67" s="20"/>
      <c r="I67" s="24">
        <v>173</v>
      </c>
      <c r="J67" s="25">
        <v>94.6</v>
      </c>
      <c r="K67" s="21">
        <v>37</v>
      </c>
      <c r="L67" s="26">
        <v>720</v>
      </c>
      <c r="M67" s="26"/>
      <c r="N67" s="24">
        <v>145</v>
      </c>
      <c r="O67" s="25">
        <v>62.9</v>
      </c>
      <c r="P67" s="21">
        <v>30</v>
      </c>
      <c r="Q67" s="21"/>
      <c r="R67" s="27">
        <f t="shared" si="8"/>
        <v>-0.34856552736054808</v>
      </c>
      <c r="S67" s="20">
        <v>1</v>
      </c>
      <c r="T67" s="23">
        <f t="shared" si="9"/>
        <v>-0.34152372539457815</v>
      </c>
      <c r="U67" s="23">
        <f t="shared" si="10"/>
        <v>-0.33756785212745949</v>
      </c>
      <c r="V67" s="23">
        <f t="shared" si="11"/>
        <v>-0.43999484381042409</v>
      </c>
      <c r="W67" s="28"/>
      <c r="X67" s="20">
        <v>1</v>
      </c>
      <c r="Y67" s="29" t="s">
        <v>63</v>
      </c>
      <c r="Z67" s="8" t="s">
        <v>32</v>
      </c>
      <c r="AA67" s="29" t="s">
        <v>48</v>
      </c>
    </row>
    <row r="68" spans="1:28" ht="18.75" customHeight="1" x14ac:dyDescent="0.2">
      <c r="A68" s="20" t="s">
        <v>101</v>
      </c>
      <c r="B68" s="21" t="s">
        <v>138</v>
      </c>
      <c r="C68" s="21">
        <v>2020</v>
      </c>
      <c r="D68" s="22" t="s">
        <v>139</v>
      </c>
      <c r="E68" s="20"/>
      <c r="F68" s="21">
        <v>8</v>
      </c>
      <c r="G68" s="20">
        <v>15</v>
      </c>
      <c r="H68" s="20"/>
      <c r="I68" s="24">
        <v>471.1</v>
      </c>
      <c r="J68" s="25">
        <f>(598.4-418.5)/4</f>
        <v>44.974999999999994</v>
      </c>
      <c r="K68" s="21">
        <v>16</v>
      </c>
      <c r="L68" s="35">
        <v>926.2</v>
      </c>
      <c r="M68" s="35"/>
      <c r="N68" s="24">
        <v>448.58</v>
      </c>
      <c r="O68" s="25">
        <f>(690.9-400.26)/4</f>
        <v>72.66</v>
      </c>
      <c r="P68" s="21">
        <v>17</v>
      </c>
      <c r="Q68" s="21"/>
      <c r="R68" s="27">
        <f t="shared" si="8"/>
        <v>-0.37269686730625295</v>
      </c>
      <c r="S68" s="20">
        <v>1</v>
      </c>
      <c r="T68" s="23">
        <f t="shared" si="9"/>
        <v>-0.37004449555368679</v>
      </c>
      <c r="U68" s="23">
        <f t="shared" si="10"/>
        <v>-0.36101902005237735</v>
      </c>
      <c r="V68" s="23">
        <f t="shared" si="11"/>
        <v>-0.30237725994105574</v>
      </c>
      <c r="W68" s="28"/>
      <c r="X68" s="21">
        <v>4</v>
      </c>
      <c r="Y68" s="8" t="s">
        <v>80</v>
      </c>
      <c r="Z68" s="42" t="s">
        <v>75</v>
      </c>
      <c r="AA68" s="8" t="s">
        <v>80</v>
      </c>
    </row>
    <row r="69" spans="1:28" ht="18.75" customHeight="1" x14ac:dyDescent="0.2">
      <c r="A69" s="20" t="s">
        <v>101</v>
      </c>
      <c r="B69" s="21" t="s">
        <v>138</v>
      </c>
      <c r="C69" s="21">
        <v>2020</v>
      </c>
      <c r="D69" s="22" t="s">
        <v>140</v>
      </c>
      <c r="E69" s="20"/>
      <c r="F69" s="21">
        <v>8</v>
      </c>
      <c r="G69" s="20">
        <v>16</v>
      </c>
      <c r="H69" s="20"/>
      <c r="I69" s="24">
        <v>18.100000000000001</v>
      </c>
      <c r="J69" s="25">
        <v>13.4</v>
      </c>
      <c r="K69" s="21">
        <v>16</v>
      </c>
      <c r="L69" s="35">
        <v>926.2</v>
      </c>
      <c r="M69" s="35"/>
      <c r="N69" s="24">
        <v>10.1</v>
      </c>
      <c r="O69" s="25">
        <v>6.5</v>
      </c>
      <c r="P69" s="21">
        <v>17</v>
      </c>
      <c r="Q69" s="21"/>
      <c r="R69" s="27">
        <f t="shared" si="8"/>
        <v>-0.7596515422967951</v>
      </c>
      <c r="S69" s="20">
        <v>1</v>
      </c>
      <c r="T69" s="23">
        <f t="shared" si="9"/>
        <v>-0.76735185645777193</v>
      </c>
      <c r="U69" s="23">
        <f t="shared" si="10"/>
        <v>-0.74863595751977752</v>
      </c>
      <c r="V69" s="23">
        <f t="shared" si="11"/>
        <v>-1.2007504690431523</v>
      </c>
      <c r="W69" s="21"/>
      <c r="X69" s="21">
        <v>4</v>
      </c>
      <c r="Y69" s="8" t="s">
        <v>80</v>
      </c>
      <c r="Z69" s="42" t="s">
        <v>75</v>
      </c>
      <c r="AA69" s="8" t="s">
        <v>80</v>
      </c>
    </row>
    <row r="70" spans="1:28" ht="18.75" customHeight="1" x14ac:dyDescent="0.2">
      <c r="A70" s="20" t="s">
        <v>101</v>
      </c>
      <c r="B70" s="21" t="s">
        <v>141</v>
      </c>
      <c r="C70" s="21">
        <v>2006</v>
      </c>
      <c r="D70" s="22" t="s">
        <v>142</v>
      </c>
      <c r="E70" s="20"/>
      <c r="F70" s="21">
        <v>9</v>
      </c>
      <c r="G70" s="20">
        <v>17</v>
      </c>
      <c r="H70" s="20"/>
      <c r="I70" s="24">
        <v>316</v>
      </c>
      <c r="J70" s="25">
        <f>(330-282)/1.35</f>
        <v>35.55555555555555</v>
      </c>
      <c r="K70" s="21">
        <v>9</v>
      </c>
      <c r="L70" s="35">
        <v>1000</v>
      </c>
      <c r="M70" s="35"/>
      <c r="N70" s="24">
        <v>284</v>
      </c>
      <c r="O70" s="25">
        <f>(300-279)/1.35</f>
        <v>15.555555555555555</v>
      </c>
      <c r="P70" s="21">
        <v>9</v>
      </c>
      <c r="Q70" s="21"/>
      <c r="R70" s="27">
        <f t="shared" si="8"/>
        <v>-1.1660779154576393</v>
      </c>
      <c r="S70" s="20">
        <v>1</v>
      </c>
      <c r="T70" s="23">
        <f t="shared" si="9"/>
        <v>-1.1660779154576393</v>
      </c>
      <c r="U70" s="23">
        <f t="shared" si="10"/>
        <v>-1.1105503956739422</v>
      </c>
      <c r="V70" s="23">
        <f t="shared" si="11"/>
        <v>-1.9591836734693879</v>
      </c>
      <c r="W70" s="21"/>
      <c r="X70" s="48" t="s">
        <v>75</v>
      </c>
      <c r="Y70" s="8"/>
      <c r="Z70" s="8" t="s">
        <v>32</v>
      </c>
      <c r="AA70" s="29" t="s">
        <v>143</v>
      </c>
    </row>
    <row r="71" spans="1:28" ht="18.75" customHeight="1" x14ac:dyDescent="0.2">
      <c r="A71" s="20" t="s">
        <v>101</v>
      </c>
      <c r="B71" s="21" t="s">
        <v>41</v>
      </c>
      <c r="C71" s="21">
        <v>2006</v>
      </c>
      <c r="D71" s="22" t="s">
        <v>144</v>
      </c>
      <c r="E71" s="20" t="s">
        <v>145</v>
      </c>
      <c r="F71" s="21">
        <v>10</v>
      </c>
      <c r="G71" s="20">
        <v>18</v>
      </c>
      <c r="H71" s="20"/>
      <c r="I71" s="24">
        <v>33.299999999999997</v>
      </c>
      <c r="J71" s="25">
        <f>(44-22)/1.35</f>
        <v>16.296296296296294</v>
      </c>
      <c r="K71" s="21">
        <v>9</v>
      </c>
      <c r="L71" s="35" t="s">
        <v>44</v>
      </c>
      <c r="M71" s="35"/>
      <c r="N71" s="24">
        <v>19.2</v>
      </c>
      <c r="O71" s="25">
        <f>(30-16)/1.35</f>
        <v>10.37037037037037</v>
      </c>
      <c r="P71" s="21">
        <v>9</v>
      </c>
      <c r="Q71" s="21"/>
      <c r="R71" s="27">
        <f t="shared" si="8"/>
        <v>-1.0323178161445299</v>
      </c>
      <c r="S71" s="20">
        <v>1</v>
      </c>
      <c r="T71" s="23">
        <f t="shared" si="9"/>
        <v>-1.0323178161445299</v>
      </c>
      <c r="U71" s="23">
        <f t="shared" si="10"/>
        <v>-0.98315982489955223</v>
      </c>
      <c r="V71" s="23">
        <f t="shared" si="11"/>
        <v>-1.2948979591836731</v>
      </c>
      <c r="W71" s="21"/>
      <c r="X71" s="21">
        <v>1</v>
      </c>
      <c r="Y71" s="8"/>
      <c r="Z71" s="8" t="s">
        <v>32</v>
      </c>
      <c r="AA71" s="29" t="s">
        <v>48</v>
      </c>
    </row>
    <row r="72" spans="1:28" ht="18.75" customHeight="1" x14ac:dyDescent="0.2">
      <c r="A72" s="20"/>
      <c r="C72" s="21"/>
      <c r="D72" s="22"/>
      <c r="E72" s="20"/>
      <c r="F72" s="21">
        <v>10</v>
      </c>
      <c r="G72" s="20">
        <v>19</v>
      </c>
      <c r="H72" s="20"/>
      <c r="I72" s="24"/>
      <c r="J72" s="25">
        <f>AVERAGE(J53:J71)</f>
        <v>24.72552130548117</v>
      </c>
      <c r="K72" s="38">
        <f>SUM(K69,K67,K65,K62,K61,K57,K56,K55,K54,K70)</f>
        <v>184</v>
      </c>
      <c r="L72" s="39">
        <f>AVERAGE(L69,L67,L65,L62,L61,L57,L56,L55,L54)</f>
        <v>985.07555555555564</v>
      </c>
      <c r="M72" s="39"/>
      <c r="N72" s="40"/>
      <c r="O72" s="25">
        <f>AVERAGE(O53:O71)</f>
        <v>22.780354051099618</v>
      </c>
      <c r="P72" s="38">
        <f>SUM(P69,P67,P65,P62,P61,P57,P56,P55,P54,P70)</f>
        <v>213</v>
      </c>
      <c r="Q72" s="21"/>
      <c r="R72" s="27"/>
      <c r="S72" s="20"/>
      <c r="T72" s="41">
        <f>AVERAGE(T53:T71)</f>
        <v>-0.17902001972348364</v>
      </c>
      <c r="U72" s="41">
        <f>AVERAGE(U53:U71)</f>
        <v>-0.17222778197897542</v>
      </c>
      <c r="V72" s="41">
        <f>AVERAGE(V53:V71)</f>
        <v>-0.29649099676443713</v>
      </c>
      <c r="W72" s="21"/>
      <c r="X72" s="21"/>
      <c r="Y72" s="8"/>
      <c r="Z72" s="29"/>
    </row>
    <row r="73" spans="1:28" ht="18.75" customHeight="1" x14ac:dyDescent="0.2">
      <c r="A73" s="20"/>
      <c r="C73" s="21"/>
      <c r="D73" s="43"/>
      <c r="E73" s="20"/>
      <c r="F73" s="21"/>
      <c r="G73" s="20"/>
      <c r="H73" s="20"/>
      <c r="I73" s="24"/>
      <c r="J73" s="25"/>
      <c r="K73" s="21"/>
      <c r="L73" s="26"/>
      <c r="M73" s="26"/>
      <c r="N73" s="24"/>
      <c r="O73" s="25"/>
      <c r="P73" s="21"/>
      <c r="Q73" s="21"/>
      <c r="R73" s="27"/>
      <c r="S73" s="20"/>
      <c r="T73" s="44">
        <f>STDEV(T53:T71)</f>
        <v>0.85951559180651183</v>
      </c>
      <c r="U73" s="44">
        <f>STDEV(U53:U71)</f>
        <v>0.84402882839832993</v>
      </c>
      <c r="V73" s="44">
        <f>STDEV(V53:V71)</f>
        <v>1.0829343166621714</v>
      </c>
      <c r="W73" s="28"/>
      <c r="X73" s="20"/>
      <c r="AA73" s="29"/>
    </row>
    <row r="74" spans="1:28" ht="18.75" customHeight="1" x14ac:dyDescent="0.2">
      <c r="A74" s="20" t="s">
        <v>146</v>
      </c>
      <c r="B74" s="20" t="s">
        <v>147</v>
      </c>
      <c r="C74" s="21">
        <v>1997</v>
      </c>
      <c r="D74" s="22" t="s">
        <v>148</v>
      </c>
      <c r="E74" s="20" t="s">
        <v>149</v>
      </c>
      <c r="F74" s="20">
        <v>1</v>
      </c>
      <c r="G74" s="20">
        <v>2</v>
      </c>
      <c r="H74" s="20"/>
      <c r="I74" s="24">
        <v>8.6999999999999993</v>
      </c>
      <c r="J74" s="25">
        <v>1.3</v>
      </c>
      <c r="K74" s="21">
        <v>8</v>
      </c>
      <c r="L74" s="26">
        <v>870</v>
      </c>
      <c r="M74" s="20"/>
      <c r="N74" s="24">
        <v>7.5</v>
      </c>
      <c r="O74" s="25">
        <v>0.8</v>
      </c>
      <c r="P74" s="21">
        <v>8</v>
      </c>
      <c r="Q74" s="21"/>
      <c r="R74" s="27">
        <f t="shared" ref="R74:R87" si="12">(N74-I74)/SQRT((O74^2+J74^2)/2)</f>
        <v>-1.1117785310689901</v>
      </c>
      <c r="S74" s="20">
        <v>1</v>
      </c>
      <c r="T74" s="23">
        <f t="shared" ref="T74:T86" si="13">(N74-I74)/SQRT((((P74-1)*O74^2) + ((K74-1)*J74^2))/(P74+K74-2))*S74</f>
        <v>-1.1117785310689901</v>
      </c>
      <c r="U74" s="23">
        <f t="shared" ref="U74:U84" si="14">T74*(1-(3/(4*(K74+P74-2) -1)))</f>
        <v>-1.0511360657379543</v>
      </c>
      <c r="V74" s="23">
        <f t="shared" ref="V74:V87" si="15">((N74-I74)/O74)*S74 * (1-(3/(4*(K74+P74-2)-1)))</f>
        <v>-1.4181818181818173</v>
      </c>
      <c r="W74" s="28"/>
      <c r="X74" s="20">
        <v>4</v>
      </c>
      <c r="Y74" s="29" t="s">
        <v>150</v>
      </c>
      <c r="Z74" s="8" t="s">
        <v>151</v>
      </c>
      <c r="AA74" s="29" t="s">
        <v>150</v>
      </c>
    </row>
    <row r="75" spans="1:28" ht="18.75" customHeight="1" x14ac:dyDescent="0.2">
      <c r="A75" s="20" t="s">
        <v>146</v>
      </c>
      <c r="B75" s="20" t="s">
        <v>147</v>
      </c>
      <c r="C75" s="21">
        <v>1997</v>
      </c>
      <c r="D75" s="22" t="s">
        <v>152</v>
      </c>
      <c r="E75" s="20" t="s">
        <v>153</v>
      </c>
      <c r="F75" s="20">
        <v>1</v>
      </c>
      <c r="G75" s="20">
        <v>3</v>
      </c>
      <c r="H75" s="20"/>
      <c r="I75" s="24">
        <v>1</v>
      </c>
      <c r="J75" s="25">
        <v>0.3</v>
      </c>
      <c r="K75" s="21">
        <v>8</v>
      </c>
      <c r="L75" s="26">
        <v>870</v>
      </c>
      <c r="M75" s="26"/>
      <c r="N75" s="24">
        <v>0.7</v>
      </c>
      <c r="O75" s="25">
        <v>0.2</v>
      </c>
      <c r="P75" s="21">
        <v>8</v>
      </c>
      <c r="Q75" s="21"/>
      <c r="R75" s="27">
        <f t="shared" si="12"/>
        <v>-1.1766968108291043</v>
      </c>
      <c r="S75" s="20">
        <v>1</v>
      </c>
      <c r="T75" s="23">
        <f t="shared" si="13"/>
        <v>-1.1766968108291043</v>
      </c>
      <c r="U75" s="23">
        <f t="shared" si="14"/>
        <v>-1.1125133484202441</v>
      </c>
      <c r="V75" s="23">
        <f t="shared" si="15"/>
        <v>-1.4181818181818184</v>
      </c>
      <c r="W75" s="28"/>
      <c r="X75" s="20">
        <v>4</v>
      </c>
      <c r="Y75" s="29" t="s">
        <v>150</v>
      </c>
      <c r="Z75" s="8" t="s">
        <v>151</v>
      </c>
      <c r="AA75" s="29" t="s">
        <v>150</v>
      </c>
    </row>
    <row r="76" spans="1:28" ht="18.75" customHeight="1" x14ac:dyDescent="0.2">
      <c r="A76" s="20" t="s">
        <v>146</v>
      </c>
      <c r="B76" s="20" t="s">
        <v>154</v>
      </c>
      <c r="C76" s="21">
        <v>1994</v>
      </c>
      <c r="D76" s="22" t="s">
        <v>155</v>
      </c>
      <c r="E76" s="20" t="s">
        <v>156</v>
      </c>
      <c r="F76" s="20">
        <v>2</v>
      </c>
      <c r="G76" s="20">
        <v>5</v>
      </c>
      <c r="H76" s="20"/>
      <c r="I76" s="24">
        <v>51.9</v>
      </c>
      <c r="J76" s="25">
        <v>8.6999999999999993</v>
      </c>
      <c r="K76" s="21">
        <v>19</v>
      </c>
      <c r="L76" s="26">
        <v>1332</v>
      </c>
      <c r="M76" s="26"/>
      <c r="N76" s="24">
        <v>39.9</v>
      </c>
      <c r="O76" s="25">
        <v>6.6</v>
      </c>
      <c r="P76" s="21">
        <v>20</v>
      </c>
      <c r="Q76" s="21"/>
      <c r="R76" s="27">
        <f t="shared" si="12"/>
        <v>-1.5540573797716228</v>
      </c>
      <c r="S76" s="20">
        <v>1</v>
      </c>
      <c r="T76" s="23">
        <f t="shared" si="13"/>
        <v>-1.5597467935528373</v>
      </c>
      <c r="U76" s="23">
        <f t="shared" si="14"/>
        <v>-1.5279152263374733</v>
      </c>
      <c r="V76" s="23">
        <f t="shared" si="15"/>
        <v>-1.7810760667903527</v>
      </c>
      <c r="W76" s="28"/>
      <c r="X76" s="48" t="s">
        <v>75</v>
      </c>
      <c r="Y76" s="29" t="s">
        <v>143</v>
      </c>
      <c r="Z76" s="42" t="s">
        <v>44</v>
      </c>
      <c r="AA76" s="29" t="s">
        <v>143</v>
      </c>
      <c r="AB76" s="29"/>
    </row>
    <row r="77" spans="1:28" ht="18.75" customHeight="1" x14ac:dyDescent="0.2">
      <c r="A77" s="20" t="s">
        <v>146</v>
      </c>
      <c r="B77" s="20" t="s">
        <v>154</v>
      </c>
      <c r="C77" s="21">
        <v>1994</v>
      </c>
      <c r="D77" s="22" t="s">
        <v>157</v>
      </c>
      <c r="E77" s="20" t="s">
        <v>158</v>
      </c>
      <c r="F77" s="20">
        <v>2</v>
      </c>
      <c r="G77" s="20">
        <v>6</v>
      </c>
      <c r="H77" s="20"/>
      <c r="I77" s="24">
        <v>1010</v>
      </c>
      <c r="J77" s="25">
        <v>1318</v>
      </c>
      <c r="K77" s="21">
        <v>19</v>
      </c>
      <c r="L77" s="26">
        <v>1332</v>
      </c>
      <c r="M77" s="26"/>
      <c r="N77" s="24">
        <v>729</v>
      </c>
      <c r="O77" s="25">
        <v>691</v>
      </c>
      <c r="P77" s="21">
        <v>20</v>
      </c>
      <c r="Q77" s="21"/>
      <c r="R77" s="27">
        <f t="shared" si="12"/>
        <v>-0.26703806949163555</v>
      </c>
      <c r="S77" s="20">
        <v>1</v>
      </c>
      <c r="T77" s="23">
        <f t="shared" si="13"/>
        <v>-0.2691145864946321</v>
      </c>
      <c r="U77" s="23">
        <f t="shared" si="14"/>
        <v>-0.2636224520763743</v>
      </c>
      <c r="V77" s="23">
        <f t="shared" si="15"/>
        <v>-0.39835789598038929</v>
      </c>
      <c r="W77" s="28"/>
      <c r="X77" s="48" t="s">
        <v>75</v>
      </c>
      <c r="Y77" s="29" t="s">
        <v>143</v>
      </c>
      <c r="Z77" s="42" t="s">
        <v>44</v>
      </c>
      <c r="AA77" s="29" t="s">
        <v>143</v>
      </c>
      <c r="AB77" s="29"/>
    </row>
    <row r="78" spans="1:28" ht="18.75" customHeight="1" x14ac:dyDescent="0.2">
      <c r="A78" s="20" t="s">
        <v>146</v>
      </c>
      <c r="B78" s="20" t="s">
        <v>159</v>
      </c>
      <c r="C78" s="21">
        <v>2017</v>
      </c>
      <c r="D78" s="22" t="s">
        <v>160</v>
      </c>
      <c r="E78" s="20" t="s">
        <v>161</v>
      </c>
      <c r="F78" s="20">
        <v>3</v>
      </c>
      <c r="G78" s="20">
        <v>7</v>
      </c>
      <c r="H78" s="20"/>
      <c r="I78" s="51">
        <v>24.6</v>
      </c>
      <c r="J78" s="25">
        <v>14.7</v>
      </c>
      <c r="K78" s="21">
        <v>57</v>
      </c>
      <c r="L78" s="26">
        <v>655</v>
      </c>
      <c r="M78" s="26"/>
      <c r="N78" s="24">
        <v>17.3</v>
      </c>
      <c r="O78" s="25">
        <v>10.3</v>
      </c>
      <c r="P78" s="21">
        <v>57</v>
      </c>
      <c r="Q78" s="21"/>
      <c r="R78" s="27">
        <f t="shared" si="12"/>
        <v>-0.57515986004748754</v>
      </c>
      <c r="S78" s="20">
        <v>1</v>
      </c>
      <c r="T78" s="23">
        <f t="shared" si="13"/>
        <v>-0.57515986004748754</v>
      </c>
      <c r="U78" s="23">
        <f t="shared" si="14"/>
        <v>-0.57129972675857821</v>
      </c>
      <c r="V78" s="23">
        <f t="shared" si="15"/>
        <v>-0.70398123411741709</v>
      </c>
      <c r="W78" s="28"/>
      <c r="X78" s="20">
        <v>1</v>
      </c>
      <c r="Y78" s="29" t="s">
        <v>63</v>
      </c>
      <c r="Z78" s="42" t="s">
        <v>44</v>
      </c>
      <c r="AA78" s="29" t="s">
        <v>48</v>
      </c>
    </row>
    <row r="79" spans="1:28" ht="18.75" customHeight="1" x14ac:dyDescent="0.2">
      <c r="A79" s="20" t="s">
        <v>146</v>
      </c>
      <c r="B79" s="20" t="s">
        <v>159</v>
      </c>
      <c r="C79" s="21">
        <v>2017</v>
      </c>
      <c r="D79" s="22" t="s">
        <v>162</v>
      </c>
      <c r="E79" s="20" t="s">
        <v>163</v>
      </c>
      <c r="F79" s="20">
        <v>3</v>
      </c>
      <c r="G79" s="20">
        <v>8</v>
      </c>
      <c r="H79" s="20"/>
      <c r="I79" s="24">
        <v>9.3000000000000007</v>
      </c>
      <c r="J79" s="25">
        <v>1.8</v>
      </c>
      <c r="K79" s="21">
        <v>57</v>
      </c>
      <c r="L79" s="26">
        <v>655</v>
      </c>
      <c r="M79" s="26"/>
      <c r="N79" s="24">
        <v>8.6999999999999993</v>
      </c>
      <c r="O79" s="25">
        <v>1.5</v>
      </c>
      <c r="P79" s="21">
        <v>57</v>
      </c>
      <c r="Q79" s="21"/>
      <c r="R79" s="27">
        <f t="shared" si="12"/>
        <v>-0.36214298417007496</v>
      </c>
      <c r="S79" s="20">
        <v>1</v>
      </c>
      <c r="T79" s="23">
        <f t="shared" si="13"/>
        <v>-0.36214298417007496</v>
      </c>
      <c r="U79" s="23">
        <f t="shared" si="14"/>
        <v>-0.35971249434343017</v>
      </c>
      <c r="V79" s="23">
        <f t="shared" si="15"/>
        <v>-0.3973154362416117</v>
      </c>
      <c r="W79" s="28"/>
      <c r="X79" s="20">
        <v>1</v>
      </c>
      <c r="Y79" s="29" t="s">
        <v>63</v>
      </c>
      <c r="Z79" s="42" t="s">
        <v>44</v>
      </c>
      <c r="AA79" s="29" t="s">
        <v>48</v>
      </c>
    </row>
    <row r="80" spans="1:28" ht="18.75" customHeight="1" x14ac:dyDescent="0.2">
      <c r="A80" s="20" t="s">
        <v>146</v>
      </c>
      <c r="B80" s="20" t="s">
        <v>82</v>
      </c>
      <c r="C80" s="21">
        <v>2013</v>
      </c>
      <c r="D80" s="22" t="s">
        <v>164</v>
      </c>
      <c r="E80" s="20" t="s">
        <v>165</v>
      </c>
      <c r="F80" s="20">
        <v>4</v>
      </c>
      <c r="G80" s="20">
        <v>10</v>
      </c>
      <c r="H80" s="20"/>
      <c r="I80" s="24">
        <v>99.1</v>
      </c>
      <c r="J80" s="25">
        <v>14.9</v>
      </c>
      <c r="K80" s="21">
        <v>57</v>
      </c>
      <c r="L80" s="30">
        <f>(845.7+774.9)/2</f>
        <v>810.3</v>
      </c>
      <c r="M80" s="30"/>
      <c r="N80" s="24">
        <v>103.6</v>
      </c>
      <c r="O80" s="25">
        <v>13.6</v>
      </c>
      <c r="P80" s="21">
        <v>46</v>
      </c>
      <c r="Q80" s="21"/>
      <c r="R80" s="27">
        <f t="shared" si="12"/>
        <v>0.31546146331286101</v>
      </c>
      <c r="S80" s="20">
        <v>-1</v>
      </c>
      <c r="T80" s="23">
        <f t="shared" si="13"/>
        <v>-0.31390908175481508</v>
      </c>
      <c r="U80" s="23">
        <f t="shared" si="14"/>
        <v>-0.31157228958294303</v>
      </c>
      <c r="V80" s="23">
        <f t="shared" si="15"/>
        <v>-0.32841920887461684</v>
      </c>
      <c r="W80" s="28"/>
      <c r="X80" s="31" t="s">
        <v>166</v>
      </c>
      <c r="Y80" s="32" t="s">
        <v>85</v>
      </c>
      <c r="Z80" s="42" t="s">
        <v>44</v>
      </c>
      <c r="AA80" s="32" t="s">
        <v>85</v>
      </c>
    </row>
    <row r="81" spans="1:27" ht="18.75" customHeight="1" x14ac:dyDescent="0.2">
      <c r="A81" s="20" t="s">
        <v>146</v>
      </c>
      <c r="B81" s="20" t="s">
        <v>28</v>
      </c>
      <c r="C81" s="21">
        <v>2004</v>
      </c>
      <c r="D81" s="22" t="s">
        <v>167</v>
      </c>
      <c r="E81" s="20" t="s">
        <v>168</v>
      </c>
      <c r="F81" s="20">
        <v>5</v>
      </c>
      <c r="G81" s="20">
        <v>11</v>
      </c>
      <c r="H81" s="20"/>
      <c r="I81" s="24">
        <v>18.46</v>
      </c>
      <c r="J81" s="25">
        <v>4.88</v>
      </c>
      <c r="K81" s="21">
        <v>20</v>
      </c>
      <c r="L81" s="26">
        <v>858.5</v>
      </c>
      <c r="M81" s="26"/>
      <c r="N81" s="24">
        <v>22.78</v>
      </c>
      <c r="O81" s="25">
        <v>5.49</v>
      </c>
      <c r="P81" s="21">
        <v>20</v>
      </c>
      <c r="Q81" s="21"/>
      <c r="R81" s="27">
        <f t="shared" si="12"/>
        <v>0.83173486829623577</v>
      </c>
      <c r="S81" s="20">
        <v>-1</v>
      </c>
      <c r="T81" s="23">
        <f t="shared" si="13"/>
        <v>-0.83173486829623577</v>
      </c>
      <c r="U81" s="23">
        <f t="shared" si="14"/>
        <v>-0.8152103344890258</v>
      </c>
      <c r="V81" s="23">
        <f t="shared" si="15"/>
        <v>-0.7712517641949842</v>
      </c>
      <c r="W81" s="28"/>
      <c r="X81" s="20">
        <v>2</v>
      </c>
      <c r="Y81" s="29" t="s">
        <v>31</v>
      </c>
      <c r="Z81" s="8" t="s">
        <v>32</v>
      </c>
      <c r="AA81" s="29" t="s">
        <v>31</v>
      </c>
    </row>
    <row r="82" spans="1:27" ht="18.75" customHeight="1" x14ac:dyDescent="0.2">
      <c r="A82" s="20" t="s">
        <v>146</v>
      </c>
      <c r="B82" s="20" t="s">
        <v>60</v>
      </c>
      <c r="C82" s="21">
        <v>2017</v>
      </c>
      <c r="D82" s="22" t="s">
        <v>169</v>
      </c>
      <c r="E82" s="20" t="s">
        <v>170</v>
      </c>
      <c r="F82" s="20">
        <v>6</v>
      </c>
      <c r="G82" s="20">
        <v>12</v>
      </c>
      <c r="H82" s="20"/>
      <c r="I82" s="24">
        <v>18.899999999999999</v>
      </c>
      <c r="J82" s="25">
        <v>11.3</v>
      </c>
      <c r="K82" s="21">
        <v>37</v>
      </c>
      <c r="L82" s="26">
        <v>720</v>
      </c>
      <c r="M82" s="26"/>
      <c r="N82" s="24">
        <v>13.3</v>
      </c>
      <c r="O82" s="25">
        <v>8.8000000000000007</v>
      </c>
      <c r="P82" s="21">
        <v>30</v>
      </c>
      <c r="Q82" s="21"/>
      <c r="R82" s="27">
        <f t="shared" si="12"/>
        <v>-0.55295327526239435</v>
      </c>
      <c r="S82" s="20">
        <v>1</v>
      </c>
      <c r="T82" s="23">
        <f t="shared" si="13"/>
        <v>-0.54580075086961954</v>
      </c>
      <c r="U82" s="23">
        <f t="shared" si="14"/>
        <v>-0.53947873445028038</v>
      </c>
      <c r="V82" s="23">
        <f t="shared" si="15"/>
        <v>-0.62899262899262864</v>
      </c>
      <c r="W82" s="28"/>
      <c r="X82" s="20">
        <v>1</v>
      </c>
      <c r="Y82" s="29" t="s">
        <v>63</v>
      </c>
      <c r="Z82" s="8" t="s">
        <v>32</v>
      </c>
      <c r="AA82" s="29" t="s">
        <v>48</v>
      </c>
    </row>
    <row r="83" spans="1:27" ht="18.75" customHeight="1" x14ac:dyDescent="0.2">
      <c r="A83" s="20" t="s">
        <v>146</v>
      </c>
      <c r="B83" s="21" t="s">
        <v>77</v>
      </c>
      <c r="C83" s="21">
        <v>2020</v>
      </c>
      <c r="D83" s="22" t="s">
        <v>169</v>
      </c>
      <c r="E83" s="20" t="s">
        <v>170</v>
      </c>
      <c r="F83" s="21">
        <v>7</v>
      </c>
      <c r="G83" s="20">
        <v>13</v>
      </c>
      <c r="H83" s="20"/>
      <c r="I83" s="24">
        <v>24.2</v>
      </c>
      <c r="J83" s="25">
        <v>12</v>
      </c>
      <c r="K83" s="21">
        <v>19</v>
      </c>
      <c r="L83" s="26">
        <v>1042</v>
      </c>
      <c r="M83" s="26"/>
      <c r="N83" s="24">
        <v>15.9</v>
      </c>
      <c r="O83" s="25">
        <v>9.6</v>
      </c>
      <c r="P83" s="21">
        <v>19</v>
      </c>
      <c r="Q83" s="21"/>
      <c r="R83" s="27">
        <f t="shared" si="12"/>
        <v>-0.76381805535102176</v>
      </c>
      <c r="S83" s="20">
        <v>1</v>
      </c>
      <c r="T83" s="23">
        <f t="shared" si="13"/>
        <v>-0.76381805535102176</v>
      </c>
      <c r="U83" s="23">
        <f t="shared" si="14"/>
        <v>-0.74779390034365767</v>
      </c>
      <c r="V83" s="23">
        <f t="shared" si="15"/>
        <v>-0.84644522144522139</v>
      </c>
      <c r="W83" s="28"/>
      <c r="X83" s="20">
        <v>1</v>
      </c>
      <c r="Y83" s="29" t="s">
        <v>63</v>
      </c>
      <c r="Z83" s="42" t="s">
        <v>44</v>
      </c>
      <c r="AA83" s="29" t="s">
        <v>48</v>
      </c>
    </row>
    <row r="84" spans="1:27" ht="18.75" customHeight="1" x14ac:dyDescent="0.2">
      <c r="A84" s="20" t="s">
        <v>146</v>
      </c>
      <c r="B84" s="47" t="s">
        <v>112</v>
      </c>
      <c r="C84" s="21">
        <v>1996</v>
      </c>
      <c r="D84" s="22" t="s">
        <v>171</v>
      </c>
      <c r="E84" s="96" t="s">
        <v>172</v>
      </c>
      <c r="F84" s="21">
        <v>8</v>
      </c>
      <c r="G84" s="20">
        <v>14</v>
      </c>
      <c r="H84" s="20"/>
      <c r="I84" s="24">
        <v>12.3</v>
      </c>
      <c r="J84" s="25">
        <v>4.53</v>
      </c>
      <c r="K84" s="21">
        <v>8</v>
      </c>
      <c r="L84" s="26">
        <v>1253.0999999999999</v>
      </c>
      <c r="M84" s="26"/>
      <c r="N84" s="24">
        <v>8.6999999999999993</v>
      </c>
      <c r="O84" s="25">
        <v>1.18</v>
      </c>
      <c r="P84" s="21">
        <v>8</v>
      </c>
      <c r="Q84" s="21"/>
      <c r="R84" s="27">
        <f t="shared" si="12"/>
        <v>-1.0875859947978659</v>
      </c>
      <c r="S84" s="20">
        <v>1</v>
      </c>
      <c r="T84" s="23">
        <f t="shared" si="13"/>
        <v>-1.0875859947978659</v>
      </c>
      <c r="U84" s="23">
        <f t="shared" si="14"/>
        <v>-1.0282631223543459</v>
      </c>
      <c r="V84" s="23">
        <f t="shared" si="15"/>
        <v>-2.8844375963020044</v>
      </c>
      <c r="W84" s="28"/>
      <c r="X84" s="48" t="s">
        <v>75</v>
      </c>
      <c r="Y84" s="42" t="s">
        <v>75</v>
      </c>
      <c r="Z84" s="42" t="s">
        <v>44</v>
      </c>
      <c r="AA84" s="42" t="s">
        <v>75</v>
      </c>
    </row>
    <row r="85" spans="1:27" ht="18.75" customHeight="1" x14ac:dyDescent="0.2">
      <c r="A85" s="20" t="s">
        <v>146</v>
      </c>
      <c r="B85" s="135" t="s">
        <v>509</v>
      </c>
      <c r="C85" s="21">
        <v>2021</v>
      </c>
      <c r="D85" s="22" t="s">
        <v>512</v>
      </c>
      <c r="E85" s="96" t="s">
        <v>513</v>
      </c>
      <c r="F85" s="21">
        <v>9</v>
      </c>
      <c r="G85" s="20">
        <v>15</v>
      </c>
      <c r="H85" s="20"/>
      <c r="I85" s="36">
        <v>144</v>
      </c>
      <c r="J85" s="25">
        <f>(177-95)/1.35</f>
        <v>60.740740740740733</v>
      </c>
      <c r="K85" s="21">
        <v>19</v>
      </c>
      <c r="L85" s="26">
        <v>890</v>
      </c>
      <c r="M85" s="26"/>
      <c r="N85" s="36">
        <v>258</v>
      </c>
      <c r="O85" s="25">
        <f>(275-240)/1.35</f>
        <v>25.925925925925924</v>
      </c>
      <c r="P85" s="21">
        <v>25</v>
      </c>
      <c r="Q85" s="21"/>
      <c r="R85" s="27">
        <f t="shared" si="12"/>
        <v>2.4411663181416556</v>
      </c>
      <c r="S85" s="20">
        <v>-1</v>
      </c>
      <c r="T85" s="23">
        <f t="shared" si="13"/>
        <v>-2.571539207552469</v>
      </c>
      <c r="U85" s="136">
        <f>T85*(1-(3/(4*(K85+P85-2) -1)))</f>
        <v>-2.525343892446736</v>
      </c>
      <c r="V85" s="136">
        <f t="shared" si="15"/>
        <v>-4.3181522668947823</v>
      </c>
      <c r="W85" s="28"/>
      <c r="X85" s="48">
        <v>2</v>
      </c>
      <c r="Y85" s="42"/>
      <c r="Z85" s="8" t="s">
        <v>32</v>
      </c>
      <c r="AA85" s="42"/>
    </row>
    <row r="86" spans="1:27" ht="18.75" customHeight="1" x14ac:dyDescent="0.2">
      <c r="A86" s="20" t="s">
        <v>146</v>
      </c>
      <c r="B86" s="149" t="s">
        <v>590</v>
      </c>
      <c r="C86" s="21">
        <v>2014</v>
      </c>
      <c r="D86" s="22" t="s">
        <v>591</v>
      </c>
      <c r="E86" s="96" t="s">
        <v>592</v>
      </c>
      <c r="F86" s="21">
        <v>10</v>
      </c>
      <c r="G86" s="20">
        <v>16</v>
      </c>
      <c r="H86" s="20"/>
      <c r="I86" s="36">
        <v>87.6</v>
      </c>
      <c r="J86" s="25">
        <v>12.6</v>
      </c>
      <c r="K86" s="21">
        <v>9</v>
      </c>
      <c r="L86" s="26">
        <v>697.9</v>
      </c>
      <c r="M86" s="26"/>
      <c r="N86" s="36">
        <v>100</v>
      </c>
      <c r="O86" s="25">
        <v>15</v>
      </c>
      <c r="P86" s="48">
        <v>100</v>
      </c>
      <c r="Q86" s="21"/>
      <c r="R86" s="27">
        <f t="shared" si="12"/>
        <v>0.895172702436701</v>
      </c>
      <c r="S86" s="20">
        <v>-1</v>
      </c>
      <c r="T86" s="23">
        <f t="shared" si="13"/>
        <v>-0.83591763759961901</v>
      </c>
      <c r="U86" s="150">
        <f>T86*(1-(3/(4*(K86+P86-2) -1)))</f>
        <v>-0.83004467995840392</v>
      </c>
      <c r="V86" s="150">
        <f t="shared" si="15"/>
        <v>-0.82085870413739292</v>
      </c>
      <c r="W86" s="28"/>
      <c r="X86" s="48"/>
      <c r="Y86" s="42"/>
      <c r="AA86" s="42"/>
    </row>
    <row r="87" spans="1:27" ht="18.75" customHeight="1" x14ac:dyDescent="0.2">
      <c r="A87" s="20" t="s">
        <v>281</v>
      </c>
      <c r="B87" s="104" t="s">
        <v>567</v>
      </c>
      <c r="C87" s="104">
        <v>1997</v>
      </c>
      <c r="D87" s="105" t="s">
        <v>606</v>
      </c>
      <c r="E87" s="20" t="s">
        <v>607</v>
      </c>
      <c r="F87" s="21">
        <v>7</v>
      </c>
      <c r="G87" s="20">
        <v>8</v>
      </c>
      <c r="H87" s="20"/>
      <c r="I87" s="27">
        <v>33.4</v>
      </c>
      <c r="J87" s="49">
        <v>6.4</v>
      </c>
      <c r="K87" s="21">
        <v>7</v>
      </c>
      <c r="L87" s="26">
        <v>1051</v>
      </c>
      <c r="M87" s="26"/>
      <c r="N87" s="27">
        <v>21.5</v>
      </c>
      <c r="O87" s="49">
        <v>3.4</v>
      </c>
      <c r="P87" s="21">
        <v>14</v>
      </c>
      <c r="Q87" s="21"/>
      <c r="R87" s="27">
        <f t="shared" si="12"/>
        <v>-2.3221998919466191</v>
      </c>
      <c r="S87" s="20">
        <v>1</v>
      </c>
      <c r="T87" s="106">
        <f>(N87-I87)/SQRT((((P87-1)*O87^2) + ((K87-1)*J87^2))/(P87+K87-2))*S87</f>
        <v>-2.6064790343041397</v>
      </c>
      <c r="U87" s="106">
        <f>T87*(1-(3/(4*(K87+P87-2) -1)))</f>
        <v>-2.502219872931974</v>
      </c>
      <c r="V87" s="106">
        <f t="shared" si="15"/>
        <v>-3.3599999999999994</v>
      </c>
      <c r="W87" s="28"/>
      <c r="X87" s="48"/>
      <c r="AA87" s="29"/>
    </row>
    <row r="88" spans="1:27" ht="18.75" customHeight="1" x14ac:dyDescent="0.2">
      <c r="A88" s="20"/>
      <c r="B88" s="20"/>
      <c r="C88" s="21"/>
      <c r="D88" s="22"/>
      <c r="E88" s="20"/>
      <c r="F88" s="20">
        <v>10</v>
      </c>
      <c r="G88" s="20">
        <v>16</v>
      </c>
      <c r="H88" s="20"/>
      <c r="I88" s="24"/>
      <c r="J88" s="25">
        <f>AVERAGE(J74:J84)</f>
        <v>126.58272727272728</v>
      </c>
      <c r="K88" s="38">
        <f>SUM(K84,K83,K82,K81,K80,K79,K77,K75)</f>
        <v>225</v>
      </c>
      <c r="L88" s="39">
        <f>AVERAGE(L84,L83,L82,L81,L80,L79,L77,L75)</f>
        <v>942.61249999999995</v>
      </c>
      <c r="M88" s="39"/>
      <c r="N88" s="40"/>
      <c r="O88" s="25">
        <f>AVERAGE(O74:O84)</f>
        <v>68.097272727272724</v>
      </c>
      <c r="P88" s="38">
        <f>SUM(P84,P83,P82,P81,P80,P79,P77,P75)</f>
        <v>208</v>
      </c>
      <c r="Q88" s="21"/>
      <c r="R88" s="27"/>
      <c r="S88" s="20"/>
      <c r="T88" s="41">
        <f>AVERAGE(T74:T86)</f>
        <v>-0.92345732018344406</v>
      </c>
      <c r="U88" s="41">
        <f>AVERAGE(U74:U86)</f>
        <v>-0.8987620205614959</v>
      </c>
      <c r="V88" s="41">
        <f>AVERAGE(V74:V86)</f>
        <v>-1.2858193584873103</v>
      </c>
      <c r="W88" s="28"/>
      <c r="X88" s="20"/>
    </row>
    <row r="89" spans="1:27" ht="18.75" customHeight="1" x14ac:dyDescent="0.2">
      <c r="A89" s="20"/>
      <c r="B89" s="20"/>
      <c r="C89" s="21"/>
      <c r="D89" s="43"/>
      <c r="E89" s="20"/>
      <c r="F89" s="20"/>
      <c r="G89" s="20"/>
      <c r="H89" s="20"/>
      <c r="I89" s="24"/>
      <c r="J89" s="25"/>
      <c r="K89" s="21"/>
      <c r="L89" s="26"/>
      <c r="M89" s="26"/>
      <c r="N89" s="24"/>
      <c r="O89" s="25"/>
      <c r="P89" s="21"/>
      <c r="Q89" s="21"/>
      <c r="R89" s="27"/>
      <c r="S89" s="20"/>
      <c r="T89" s="44">
        <f>STDEV(T74:T86)</f>
        <v>0.62368897813736646</v>
      </c>
      <c r="U89" s="44">
        <f>STDEV(U74:U86)</f>
        <v>0.60806106908222868</v>
      </c>
      <c r="V89" s="44">
        <f>STDEV(V74:V86)</f>
        <v>1.153565447755915</v>
      </c>
      <c r="W89" s="28"/>
      <c r="X89" s="20"/>
    </row>
    <row r="90" spans="1:27" ht="18.75" customHeight="1" x14ac:dyDescent="0.2">
      <c r="A90" s="20" t="s">
        <v>173</v>
      </c>
      <c r="B90" s="20" t="s">
        <v>127</v>
      </c>
      <c r="C90" s="21">
        <v>2018</v>
      </c>
      <c r="D90" s="22" t="s">
        <v>174</v>
      </c>
      <c r="E90" s="20" t="s">
        <v>175</v>
      </c>
      <c r="F90" s="20">
        <v>1</v>
      </c>
      <c r="G90" s="20">
        <v>2</v>
      </c>
      <c r="H90" s="20"/>
      <c r="I90" s="34">
        <v>2.2000000000000002</v>
      </c>
      <c r="J90" s="45">
        <v>0.4</v>
      </c>
      <c r="K90" s="20">
        <v>33</v>
      </c>
      <c r="L90" s="26">
        <v>751.2</v>
      </c>
      <c r="M90" s="26"/>
      <c r="N90" s="34">
        <v>2.4</v>
      </c>
      <c r="O90" s="45">
        <v>0.4</v>
      </c>
      <c r="P90" s="20">
        <v>32</v>
      </c>
      <c r="Q90" s="20"/>
      <c r="R90" s="27">
        <f t="shared" ref="R90:R104" si="16">(N90-I90)/SQRT((O90^2+J90^2)/2)</f>
        <v>0.49999999999999933</v>
      </c>
      <c r="S90" s="20">
        <v>-1</v>
      </c>
      <c r="T90" s="23">
        <f t="shared" ref="T90:T104" si="17">(N90-I90)/SQRT((((P90-1)*O90^2) + ((K90-1)*J90^2))/(P90+K90-2))*S90</f>
        <v>-0.49999999999999933</v>
      </c>
      <c r="U90" s="23">
        <f t="shared" ref="U90:U104" si="18">T90*(1-(3/(4*(K90+P90-2) -1)))</f>
        <v>-0.49402390438246946</v>
      </c>
      <c r="V90" s="23">
        <f t="shared" ref="V90:V104" si="19">((N90-I90)/O90)*S90 * (1-(3/(4*(K90+P90-2)-1)))</f>
        <v>-0.49402390438246946</v>
      </c>
      <c r="W90" s="28"/>
      <c r="X90" s="20">
        <v>1</v>
      </c>
      <c r="Y90" s="29" t="s">
        <v>63</v>
      </c>
      <c r="Z90" s="8" t="s">
        <v>32</v>
      </c>
      <c r="AA90" s="29" t="s">
        <v>48</v>
      </c>
    </row>
    <row r="91" spans="1:27" ht="18.75" customHeight="1" x14ac:dyDescent="0.2">
      <c r="A91" s="20" t="s">
        <v>173</v>
      </c>
      <c r="B91" s="20" t="s">
        <v>127</v>
      </c>
      <c r="C91" s="21">
        <v>2018</v>
      </c>
      <c r="D91" s="22" t="s">
        <v>176</v>
      </c>
      <c r="E91" s="20" t="s">
        <v>176</v>
      </c>
      <c r="F91" s="20">
        <v>1</v>
      </c>
      <c r="G91" s="20">
        <v>3</v>
      </c>
      <c r="H91" s="20"/>
      <c r="I91" s="34">
        <v>13.2</v>
      </c>
      <c r="J91" s="45">
        <v>2.5</v>
      </c>
      <c r="K91" s="20">
        <v>33</v>
      </c>
      <c r="L91" s="26">
        <v>751.2</v>
      </c>
      <c r="M91" s="26"/>
      <c r="N91" s="34">
        <v>14.2</v>
      </c>
      <c r="O91" s="45">
        <v>3</v>
      </c>
      <c r="P91" s="20">
        <v>32</v>
      </c>
      <c r="Q91" s="20"/>
      <c r="R91" s="27">
        <f t="shared" si="16"/>
        <v>0.36214298417007412</v>
      </c>
      <c r="S91" s="20">
        <v>-1</v>
      </c>
      <c r="T91" s="23">
        <f t="shared" si="17"/>
        <v>-0.362662388938708</v>
      </c>
      <c r="U91" s="23">
        <f t="shared" si="18"/>
        <v>-0.35832777871234894</v>
      </c>
      <c r="V91" s="23">
        <f t="shared" si="19"/>
        <v>-0.3293492695883134</v>
      </c>
      <c r="W91" s="28"/>
      <c r="X91" s="20">
        <v>1</v>
      </c>
      <c r="Y91" s="29" t="s">
        <v>63</v>
      </c>
      <c r="Z91" s="8" t="s">
        <v>32</v>
      </c>
      <c r="AA91" s="29" t="s">
        <v>48</v>
      </c>
    </row>
    <row r="92" spans="1:27" ht="18.75" customHeight="1" x14ac:dyDescent="0.2">
      <c r="A92" s="20" t="s">
        <v>173</v>
      </c>
      <c r="B92" s="20" t="s">
        <v>127</v>
      </c>
      <c r="C92" s="21">
        <v>2018</v>
      </c>
      <c r="D92" s="22" t="s">
        <v>177</v>
      </c>
      <c r="E92" s="20" t="s">
        <v>178</v>
      </c>
      <c r="F92" s="20">
        <v>1</v>
      </c>
      <c r="G92" s="20">
        <v>4</v>
      </c>
      <c r="H92" s="20"/>
      <c r="I92" s="34">
        <v>81.099999999999994</v>
      </c>
      <c r="J92" s="45">
        <v>21.2</v>
      </c>
      <c r="K92" s="20">
        <v>33</v>
      </c>
      <c r="L92" s="26">
        <v>751.2</v>
      </c>
      <c r="M92" s="26"/>
      <c r="N92" s="34">
        <v>86.7</v>
      </c>
      <c r="O92" s="45">
        <v>10.9</v>
      </c>
      <c r="P92" s="20">
        <v>32</v>
      </c>
      <c r="Q92" s="20"/>
      <c r="R92" s="27">
        <f t="shared" si="16"/>
        <v>0.33222575927430026</v>
      </c>
      <c r="S92" s="20">
        <v>-1</v>
      </c>
      <c r="T92" s="23">
        <f t="shared" si="17"/>
        <v>-0.33070216258014767</v>
      </c>
      <c r="U92" s="23">
        <f t="shared" si="18"/>
        <v>-0.3267495470911419</v>
      </c>
      <c r="V92" s="23">
        <f t="shared" si="19"/>
        <v>-0.50762089257648391</v>
      </c>
      <c r="W92" s="28"/>
      <c r="X92" s="20">
        <v>1</v>
      </c>
      <c r="Y92" s="29" t="s">
        <v>63</v>
      </c>
      <c r="Z92" s="8" t="s">
        <v>32</v>
      </c>
      <c r="AA92" s="29" t="s">
        <v>48</v>
      </c>
    </row>
    <row r="93" spans="1:27" ht="18.75" customHeight="1" x14ac:dyDescent="0.2">
      <c r="A93" s="20" t="s">
        <v>173</v>
      </c>
      <c r="B93" s="20" t="s">
        <v>127</v>
      </c>
      <c r="C93" s="21">
        <v>2018</v>
      </c>
      <c r="D93" s="22" t="s">
        <v>179</v>
      </c>
      <c r="E93" s="20" t="s">
        <v>180</v>
      </c>
      <c r="F93" s="20">
        <v>1</v>
      </c>
      <c r="G93" s="20">
        <v>5</v>
      </c>
      <c r="H93" s="20"/>
      <c r="I93" s="34">
        <v>87.7</v>
      </c>
      <c r="J93" s="45">
        <v>7.8</v>
      </c>
      <c r="K93" s="20">
        <v>33</v>
      </c>
      <c r="L93" s="26">
        <v>751.2</v>
      </c>
      <c r="M93" s="26"/>
      <c r="N93" s="34">
        <v>91.7</v>
      </c>
      <c r="O93" s="45">
        <v>4.5999999999999996</v>
      </c>
      <c r="P93" s="20">
        <v>32</v>
      </c>
      <c r="Q93" s="20"/>
      <c r="R93" s="27">
        <f t="shared" si="16"/>
        <v>0.62469504755442429</v>
      </c>
      <c r="S93" s="20">
        <v>-1</v>
      </c>
      <c r="T93" s="23">
        <f t="shared" si="17"/>
        <v>-0.62230964195273053</v>
      </c>
      <c r="U93" s="23">
        <f t="shared" si="18"/>
        <v>-0.6148716781046899</v>
      </c>
      <c r="V93" s="23">
        <f t="shared" si="19"/>
        <v>-0.85917200762168722</v>
      </c>
      <c r="W93" s="28"/>
      <c r="X93" s="20">
        <v>1</v>
      </c>
      <c r="Y93" s="29" t="s">
        <v>63</v>
      </c>
      <c r="Z93" s="8" t="s">
        <v>32</v>
      </c>
      <c r="AA93" s="29" t="s">
        <v>48</v>
      </c>
    </row>
    <row r="94" spans="1:27" ht="18.75" customHeight="1" x14ac:dyDescent="0.2">
      <c r="A94" s="20" t="s">
        <v>173</v>
      </c>
      <c r="B94" s="20" t="s">
        <v>127</v>
      </c>
      <c r="C94" s="21">
        <v>2018</v>
      </c>
      <c r="D94" s="22" t="s">
        <v>181</v>
      </c>
      <c r="E94" s="20" t="s">
        <v>182</v>
      </c>
      <c r="F94" s="20">
        <v>1</v>
      </c>
      <c r="G94" s="20">
        <v>6</v>
      </c>
      <c r="H94" s="20"/>
      <c r="I94" s="34">
        <v>0.6</v>
      </c>
      <c r="J94" s="45">
        <v>1.1000000000000001</v>
      </c>
      <c r="K94" s="20">
        <v>22</v>
      </c>
      <c r="L94" s="26">
        <v>751.2</v>
      </c>
      <c r="M94" s="26"/>
      <c r="N94" s="34">
        <v>0.3</v>
      </c>
      <c r="O94" s="45">
        <v>0.5</v>
      </c>
      <c r="P94" s="20">
        <v>25</v>
      </c>
      <c r="Q94" s="20"/>
      <c r="R94" s="27">
        <f t="shared" si="16"/>
        <v>-0.35112344158839165</v>
      </c>
      <c r="S94" s="20">
        <v>1</v>
      </c>
      <c r="T94" s="23">
        <f t="shared" si="17"/>
        <v>-0.35908192391184107</v>
      </c>
      <c r="U94" s="23">
        <f t="shared" si="18"/>
        <v>-0.35306379110884933</v>
      </c>
      <c r="V94" s="23">
        <f t="shared" si="19"/>
        <v>-0.58994413407821222</v>
      </c>
      <c r="W94" s="28"/>
      <c r="X94" s="20">
        <v>1</v>
      </c>
      <c r="Y94" s="29" t="s">
        <v>63</v>
      </c>
      <c r="Z94" s="8" t="s">
        <v>32</v>
      </c>
      <c r="AA94" s="29" t="s">
        <v>48</v>
      </c>
    </row>
    <row r="95" spans="1:27" ht="18.75" customHeight="1" x14ac:dyDescent="0.2">
      <c r="A95" s="20" t="s">
        <v>173</v>
      </c>
      <c r="B95" s="20" t="s">
        <v>127</v>
      </c>
      <c r="C95" s="21">
        <v>2018</v>
      </c>
      <c r="D95" s="22" t="s">
        <v>183</v>
      </c>
      <c r="E95" s="20" t="s">
        <v>184</v>
      </c>
      <c r="F95" s="20">
        <v>1</v>
      </c>
      <c r="G95" s="20">
        <v>7</v>
      </c>
      <c r="H95" s="20"/>
      <c r="I95" s="34">
        <v>0.2</v>
      </c>
      <c r="J95" s="45">
        <v>0.5</v>
      </c>
      <c r="K95" s="20">
        <v>22</v>
      </c>
      <c r="L95" s="26">
        <v>751.2</v>
      </c>
      <c r="M95" s="26"/>
      <c r="N95" s="34">
        <v>0.4</v>
      </c>
      <c r="O95" s="45">
        <v>0.8</v>
      </c>
      <c r="P95" s="20">
        <v>25</v>
      </c>
      <c r="Q95" s="20"/>
      <c r="R95" s="27">
        <f t="shared" si="16"/>
        <v>0.29981267559834457</v>
      </c>
      <c r="S95" s="20">
        <v>1</v>
      </c>
      <c r="T95" s="23">
        <f t="shared" si="17"/>
        <v>0.29552706228277081</v>
      </c>
      <c r="U95" s="23">
        <f t="shared" si="18"/>
        <v>0.29057409475847856</v>
      </c>
      <c r="V95" s="23">
        <f t="shared" si="19"/>
        <v>0.24581005586592178</v>
      </c>
      <c r="W95" s="28"/>
      <c r="X95" s="20">
        <v>1</v>
      </c>
      <c r="Y95" s="29" t="s">
        <v>63</v>
      </c>
      <c r="Z95" s="8" t="s">
        <v>32</v>
      </c>
      <c r="AA95" s="29" t="s">
        <v>48</v>
      </c>
    </row>
    <row r="96" spans="1:27" ht="18.75" customHeight="1" x14ac:dyDescent="0.2">
      <c r="A96" s="20" t="s">
        <v>173</v>
      </c>
      <c r="B96" s="20" t="s">
        <v>127</v>
      </c>
      <c r="C96" s="21">
        <v>2018</v>
      </c>
      <c r="D96" s="22" t="s">
        <v>185</v>
      </c>
      <c r="E96" s="20" t="s">
        <v>186</v>
      </c>
      <c r="F96" s="20">
        <v>1</v>
      </c>
      <c r="G96" s="20">
        <v>8</v>
      </c>
      <c r="H96" s="20"/>
      <c r="I96" s="34">
        <v>1.1000000000000001</v>
      </c>
      <c r="J96" s="45">
        <v>1.2</v>
      </c>
      <c r="K96" s="20">
        <v>22</v>
      </c>
      <c r="L96" s="26">
        <v>751.2</v>
      </c>
      <c r="M96" s="26"/>
      <c r="N96" s="34">
        <v>1.4</v>
      </c>
      <c r="O96" s="45">
        <v>1.9</v>
      </c>
      <c r="P96" s="20">
        <v>25</v>
      </c>
      <c r="Q96" s="20"/>
      <c r="R96" s="27">
        <f t="shared" si="16"/>
        <v>0.18879503265826567</v>
      </c>
      <c r="S96" s="20">
        <v>1</v>
      </c>
      <c r="T96" s="23">
        <f t="shared" si="17"/>
        <v>0.18614758667423173</v>
      </c>
      <c r="U96" s="23">
        <f t="shared" si="18"/>
        <v>0.18302779471879768</v>
      </c>
      <c r="V96" s="23">
        <f t="shared" si="19"/>
        <v>0.15524845633637155</v>
      </c>
      <c r="W96" s="28"/>
      <c r="X96" s="20">
        <v>1</v>
      </c>
      <c r="Y96" s="29" t="s">
        <v>63</v>
      </c>
      <c r="Z96" s="8" t="s">
        <v>32</v>
      </c>
      <c r="AA96" s="29" t="s">
        <v>48</v>
      </c>
    </row>
    <row r="97" spans="1:27" ht="18.75" customHeight="1" x14ac:dyDescent="0.2">
      <c r="A97" s="20" t="s">
        <v>173</v>
      </c>
      <c r="B97" s="20" t="s">
        <v>127</v>
      </c>
      <c r="C97" s="21">
        <v>2018</v>
      </c>
      <c r="D97" s="22" t="s">
        <v>187</v>
      </c>
      <c r="E97" s="20" t="s">
        <v>188</v>
      </c>
      <c r="F97" s="20">
        <v>1</v>
      </c>
      <c r="G97" s="20">
        <v>9</v>
      </c>
      <c r="H97" s="20"/>
      <c r="I97" s="34">
        <v>1.1000000000000001</v>
      </c>
      <c r="J97" s="45">
        <v>1.7</v>
      </c>
      <c r="K97" s="20">
        <v>22</v>
      </c>
      <c r="L97" s="26">
        <v>751.2</v>
      </c>
      <c r="M97" s="26"/>
      <c r="N97" s="34">
        <v>2.2999999999999998</v>
      </c>
      <c r="O97" s="45">
        <v>3.1</v>
      </c>
      <c r="P97" s="20">
        <v>25</v>
      </c>
      <c r="Q97" s="20"/>
      <c r="R97" s="27">
        <f t="shared" si="16"/>
        <v>0.47999999999999987</v>
      </c>
      <c r="S97" s="20">
        <v>1</v>
      </c>
      <c r="T97" s="23">
        <f t="shared" si="17"/>
        <v>0.47162291529929184</v>
      </c>
      <c r="U97" s="23">
        <f t="shared" si="18"/>
        <v>0.46371862062947128</v>
      </c>
      <c r="V97" s="23">
        <f t="shared" si="19"/>
        <v>0.38060911876013681</v>
      </c>
      <c r="W97" s="28"/>
      <c r="X97" s="20">
        <v>1</v>
      </c>
      <c r="Y97" s="29" t="s">
        <v>63</v>
      </c>
      <c r="Z97" s="8" t="s">
        <v>32</v>
      </c>
      <c r="AA97" s="29" t="s">
        <v>48</v>
      </c>
    </row>
    <row r="98" spans="1:27" ht="18.75" customHeight="1" x14ac:dyDescent="0.2">
      <c r="A98" s="20" t="s">
        <v>173</v>
      </c>
      <c r="B98" s="20" t="s">
        <v>127</v>
      </c>
      <c r="C98" s="21">
        <v>2018</v>
      </c>
      <c r="D98" s="22" t="s">
        <v>189</v>
      </c>
      <c r="E98" s="20" t="s">
        <v>190</v>
      </c>
      <c r="F98" s="20">
        <v>1</v>
      </c>
      <c r="G98" s="20">
        <v>10</v>
      </c>
      <c r="H98" s="20"/>
      <c r="I98" s="34">
        <v>58.9</v>
      </c>
      <c r="J98" s="45">
        <v>34.299999999999997</v>
      </c>
      <c r="K98" s="20">
        <v>22</v>
      </c>
      <c r="L98" s="26">
        <v>751.2</v>
      </c>
      <c r="M98" s="26"/>
      <c r="N98" s="34">
        <v>41</v>
      </c>
      <c r="O98" s="45">
        <v>13</v>
      </c>
      <c r="P98" s="20">
        <v>25</v>
      </c>
      <c r="Q98" s="20"/>
      <c r="R98" s="27">
        <f t="shared" si="16"/>
        <v>-0.69012505005173985</v>
      </c>
      <c r="S98" s="20">
        <v>1</v>
      </c>
      <c r="T98" s="23">
        <f t="shared" si="17"/>
        <v>-0.70802331230933468</v>
      </c>
      <c r="U98" s="23">
        <f t="shared" si="18"/>
        <v>-0.69615699981253021</v>
      </c>
      <c r="V98" s="23">
        <f t="shared" si="19"/>
        <v>-1.3538461538461537</v>
      </c>
      <c r="W98" s="28"/>
      <c r="X98" s="20">
        <v>1</v>
      </c>
      <c r="Y98" s="29" t="s">
        <v>63</v>
      </c>
      <c r="Z98" s="8" t="s">
        <v>32</v>
      </c>
      <c r="AA98" s="29" t="s">
        <v>48</v>
      </c>
    </row>
    <row r="99" spans="1:27" ht="18.75" customHeight="1" x14ac:dyDescent="0.2">
      <c r="A99" s="20" t="s">
        <v>173</v>
      </c>
      <c r="B99" s="20" t="s">
        <v>127</v>
      </c>
      <c r="C99" s="21">
        <v>2018</v>
      </c>
      <c r="D99" s="22" t="s">
        <v>191</v>
      </c>
      <c r="E99" s="20" t="s">
        <v>192</v>
      </c>
      <c r="F99" s="20">
        <v>1</v>
      </c>
      <c r="G99" s="20">
        <v>11</v>
      </c>
      <c r="H99" s="20"/>
      <c r="I99" s="34">
        <v>2</v>
      </c>
      <c r="J99" s="45">
        <v>1.3</v>
      </c>
      <c r="K99" s="20">
        <v>22</v>
      </c>
      <c r="L99" s="26">
        <v>751.2</v>
      </c>
      <c r="M99" s="26"/>
      <c r="N99" s="34">
        <v>2.2000000000000002</v>
      </c>
      <c r="O99" s="45">
        <v>1.6</v>
      </c>
      <c r="P99" s="20">
        <v>25</v>
      </c>
      <c r="Q99" s="20"/>
      <c r="R99" s="27">
        <f t="shared" si="16"/>
        <v>0.13719886811400719</v>
      </c>
      <c r="S99" s="20">
        <v>1</v>
      </c>
      <c r="T99" s="23">
        <f t="shared" si="17"/>
        <v>0.13627216199782616</v>
      </c>
      <c r="U99" s="23">
        <f t="shared" si="18"/>
        <v>0.13398827101462235</v>
      </c>
      <c r="V99" s="23">
        <f t="shared" si="19"/>
        <v>0.122905027932961</v>
      </c>
      <c r="W99" s="28"/>
      <c r="X99" s="20">
        <v>1</v>
      </c>
      <c r="Y99" s="29" t="s">
        <v>63</v>
      </c>
      <c r="Z99" s="8" t="s">
        <v>32</v>
      </c>
      <c r="AA99" s="29" t="s">
        <v>48</v>
      </c>
    </row>
    <row r="100" spans="1:27" ht="18.75" customHeight="1" x14ac:dyDescent="0.2">
      <c r="A100" s="20" t="s">
        <v>173</v>
      </c>
      <c r="B100" s="20" t="s">
        <v>127</v>
      </c>
      <c r="C100" s="21">
        <v>2018</v>
      </c>
      <c r="D100" s="22" t="s">
        <v>193</v>
      </c>
      <c r="E100" s="20" t="s">
        <v>194</v>
      </c>
      <c r="F100" s="20">
        <v>1</v>
      </c>
      <c r="G100" s="20">
        <v>12</v>
      </c>
      <c r="H100" s="20"/>
      <c r="I100" s="34">
        <v>91.6</v>
      </c>
      <c r="J100" s="45">
        <v>44</v>
      </c>
      <c r="K100" s="20">
        <v>22</v>
      </c>
      <c r="L100" s="26">
        <v>751.2</v>
      </c>
      <c r="M100" s="26"/>
      <c r="N100" s="34">
        <v>76.900000000000006</v>
      </c>
      <c r="O100" s="45">
        <v>23</v>
      </c>
      <c r="P100" s="20">
        <v>25</v>
      </c>
      <c r="Q100" s="20"/>
      <c r="R100" s="27">
        <f t="shared" si="16"/>
        <v>-0.41872015954347519</v>
      </c>
      <c r="S100" s="20">
        <v>1</v>
      </c>
      <c r="T100" s="23">
        <f t="shared" si="17"/>
        <v>-0.42692170915635996</v>
      </c>
      <c r="U100" s="23">
        <f t="shared" si="18"/>
        <v>-0.41976659671239863</v>
      </c>
      <c r="V100" s="23">
        <f t="shared" si="19"/>
        <v>-0.62841875151809523</v>
      </c>
      <c r="W100" s="28"/>
      <c r="X100" s="20">
        <v>1</v>
      </c>
      <c r="Y100" s="29" t="s">
        <v>63</v>
      </c>
      <c r="Z100" s="8" t="s">
        <v>32</v>
      </c>
      <c r="AA100" s="29" t="s">
        <v>48</v>
      </c>
    </row>
    <row r="101" spans="1:27" ht="18.75" customHeight="1" x14ac:dyDescent="0.2">
      <c r="A101" s="20" t="s">
        <v>173</v>
      </c>
      <c r="B101" s="20" t="s">
        <v>127</v>
      </c>
      <c r="C101" s="21">
        <v>2018</v>
      </c>
      <c r="D101" s="22" t="s">
        <v>195</v>
      </c>
      <c r="E101" s="20" t="s">
        <v>196</v>
      </c>
      <c r="F101" s="20">
        <v>1</v>
      </c>
      <c r="G101" s="20">
        <v>13</v>
      </c>
      <c r="H101" s="20"/>
      <c r="I101" s="34">
        <v>1.3</v>
      </c>
      <c r="J101" s="45">
        <v>1.2</v>
      </c>
      <c r="K101" s="20">
        <v>22</v>
      </c>
      <c r="L101" s="26">
        <v>751.2</v>
      </c>
      <c r="M101" s="26"/>
      <c r="N101" s="34">
        <v>1.2</v>
      </c>
      <c r="O101" s="45">
        <v>1.2</v>
      </c>
      <c r="P101" s="20">
        <v>25</v>
      </c>
      <c r="Q101" s="20"/>
      <c r="R101" s="27">
        <f t="shared" si="16"/>
        <v>-8.3333333333333412E-2</v>
      </c>
      <c r="S101" s="20">
        <v>1</v>
      </c>
      <c r="T101" s="23">
        <f t="shared" si="17"/>
        <v>-8.3333333333333412E-2</v>
      </c>
      <c r="U101" s="23">
        <f t="shared" si="18"/>
        <v>-8.1936685288640676E-2</v>
      </c>
      <c r="V101" s="23">
        <f t="shared" si="19"/>
        <v>-8.1936685288640676E-2</v>
      </c>
      <c r="W101" s="28"/>
      <c r="X101" s="20">
        <v>1</v>
      </c>
      <c r="Y101" s="29" t="s">
        <v>63</v>
      </c>
      <c r="Z101" s="8" t="s">
        <v>32</v>
      </c>
      <c r="AA101" s="29" t="s">
        <v>48</v>
      </c>
    </row>
    <row r="102" spans="1:27" ht="18.75" customHeight="1" x14ac:dyDescent="0.2">
      <c r="A102" s="20" t="s">
        <v>173</v>
      </c>
      <c r="B102" s="20" t="s">
        <v>127</v>
      </c>
      <c r="C102" s="21">
        <v>2018</v>
      </c>
      <c r="D102" s="22" t="s">
        <v>197</v>
      </c>
      <c r="E102" s="20" t="s">
        <v>198</v>
      </c>
      <c r="F102" s="20">
        <v>1</v>
      </c>
      <c r="G102" s="20">
        <v>14</v>
      </c>
      <c r="H102" s="20"/>
      <c r="I102" s="34">
        <v>157.9</v>
      </c>
      <c r="J102" s="45">
        <v>54.6</v>
      </c>
      <c r="K102" s="20">
        <v>22</v>
      </c>
      <c r="L102" s="26">
        <v>751.2</v>
      </c>
      <c r="M102" s="26"/>
      <c r="N102" s="34">
        <v>119.2</v>
      </c>
      <c r="O102" s="45">
        <v>40</v>
      </c>
      <c r="P102" s="20">
        <v>25</v>
      </c>
      <c r="Q102" s="20"/>
      <c r="R102" s="27">
        <f t="shared" si="16"/>
        <v>-0.80860837068414182</v>
      </c>
      <c r="S102" s="20">
        <v>1</v>
      </c>
      <c r="T102" s="23">
        <f t="shared" si="17"/>
        <v>-0.81685911840552716</v>
      </c>
      <c r="U102" s="23">
        <f t="shared" si="18"/>
        <v>-0.80316874211940092</v>
      </c>
      <c r="V102" s="23">
        <f t="shared" si="19"/>
        <v>-0.95128491620111733</v>
      </c>
      <c r="W102" s="28"/>
      <c r="X102" s="20">
        <v>1</v>
      </c>
      <c r="Y102" s="29" t="s">
        <v>63</v>
      </c>
      <c r="Z102" s="8" t="s">
        <v>32</v>
      </c>
      <c r="AA102" s="29" t="s">
        <v>48</v>
      </c>
    </row>
    <row r="103" spans="1:27" ht="18.75" customHeight="1" x14ac:dyDescent="0.2">
      <c r="A103" s="20" t="s">
        <v>173</v>
      </c>
      <c r="B103" s="20" t="s">
        <v>60</v>
      </c>
      <c r="C103" s="21">
        <v>2017</v>
      </c>
      <c r="D103" s="22" t="s">
        <v>199</v>
      </c>
      <c r="E103" s="20" t="s">
        <v>200</v>
      </c>
      <c r="F103" s="20">
        <v>1</v>
      </c>
      <c r="G103" s="20">
        <v>15</v>
      </c>
      <c r="H103" s="20"/>
      <c r="I103" s="34">
        <v>58.4</v>
      </c>
      <c r="J103" s="45">
        <v>8.6999999999999993</v>
      </c>
      <c r="K103" s="20">
        <v>37</v>
      </c>
      <c r="L103" s="26">
        <v>720</v>
      </c>
      <c r="M103" s="26"/>
      <c r="N103" s="34">
        <v>64.2</v>
      </c>
      <c r="O103" s="45">
        <v>7.2</v>
      </c>
      <c r="P103" s="20">
        <v>30</v>
      </c>
      <c r="Q103" s="20"/>
      <c r="R103" s="27">
        <f t="shared" si="16"/>
        <v>0.72633473153983363</v>
      </c>
      <c r="S103" s="20">
        <v>-1</v>
      </c>
      <c r="T103" s="23">
        <f t="shared" si="17"/>
        <v>-0.71912917922028208</v>
      </c>
      <c r="U103" s="23">
        <f t="shared" si="18"/>
        <v>-0.7107994976076919</v>
      </c>
      <c r="V103" s="23">
        <f t="shared" si="19"/>
        <v>-0.7962247962247968</v>
      </c>
      <c r="W103" s="28"/>
      <c r="X103" s="20">
        <v>1</v>
      </c>
      <c r="Y103" s="29" t="s">
        <v>63</v>
      </c>
      <c r="Z103" s="8" t="s">
        <v>32</v>
      </c>
      <c r="AA103" s="29" t="s">
        <v>48</v>
      </c>
    </row>
    <row r="104" spans="1:27" ht="18.75" customHeight="1" x14ac:dyDescent="0.2">
      <c r="A104" s="20" t="s">
        <v>173</v>
      </c>
      <c r="B104" s="20" t="s">
        <v>60</v>
      </c>
      <c r="C104" s="21">
        <v>2017</v>
      </c>
      <c r="D104" s="22" t="s">
        <v>201</v>
      </c>
      <c r="E104" s="20" t="s">
        <v>202</v>
      </c>
      <c r="F104" s="20">
        <v>1</v>
      </c>
      <c r="G104" s="20">
        <v>16</v>
      </c>
      <c r="H104" s="20"/>
      <c r="I104" s="34">
        <v>36</v>
      </c>
      <c r="J104" s="45">
        <v>5.8</v>
      </c>
      <c r="K104" s="20">
        <v>37</v>
      </c>
      <c r="L104" s="26">
        <v>720</v>
      </c>
      <c r="M104" s="26"/>
      <c r="N104" s="34">
        <v>39.200000000000003</v>
      </c>
      <c r="O104" s="45">
        <v>3.6</v>
      </c>
      <c r="P104" s="20">
        <v>30</v>
      </c>
      <c r="Q104" s="20"/>
      <c r="R104" s="27">
        <f t="shared" si="16"/>
        <v>0.66293663237203393</v>
      </c>
      <c r="S104" s="20">
        <v>-1</v>
      </c>
      <c r="T104" s="23">
        <f t="shared" si="17"/>
        <v>-0.64764141552672927</v>
      </c>
      <c r="U104" s="23">
        <f t="shared" si="18"/>
        <v>-0.64013977750904516</v>
      </c>
      <c r="V104" s="23">
        <f t="shared" si="19"/>
        <v>-0.87859287859287938</v>
      </c>
      <c r="W104" s="28"/>
      <c r="X104" s="20">
        <v>1</v>
      </c>
      <c r="Y104" s="29" t="s">
        <v>63</v>
      </c>
      <c r="Z104" s="8" t="s">
        <v>32</v>
      </c>
      <c r="AA104" s="29" t="s">
        <v>48</v>
      </c>
    </row>
    <row r="105" spans="1:27" ht="18.75" customHeight="1" x14ac:dyDescent="0.2">
      <c r="A105" s="20"/>
      <c r="B105" s="20"/>
      <c r="C105" s="21"/>
      <c r="D105" s="22"/>
      <c r="E105" s="52"/>
      <c r="F105" s="20">
        <v>1</v>
      </c>
      <c r="G105" s="20">
        <v>16</v>
      </c>
      <c r="H105" s="20"/>
      <c r="I105" s="34"/>
      <c r="J105" s="25">
        <f>AVERAGE(J90:J104)</f>
        <v>12.42</v>
      </c>
      <c r="K105" s="38">
        <f>SUM(K103)</f>
        <v>37</v>
      </c>
      <c r="L105" s="26">
        <v>720</v>
      </c>
      <c r="M105" s="26"/>
      <c r="N105" s="40"/>
      <c r="O105" s="25">
        <f>AVERAGE(O90:O104)</f>
        <v>7.6533333333333333</v>
      </c>
      <c r="P105" s="38">
        <f>SUM(P245)</f>
        <v>32</v>
      </c>
      <c r="Q105" s="20"/>
      <c r="R105" s="27"/>
      <c r="S105" s="20"/>
      <c r="T105" s="41">
        <f>AVERAGE(T90:T104)</f>
        <v>-0.2991396306053915</v>
      </c>
      <c r="U105" s="41">
        <f>AVERAGE(U90:U104)</f>
        <v>-0.29517974782185585</v>
      </c>
      <c r="V105" s="41">
        <f>AVERAGE(V90:V104)</f>
        <v>-0.43772278206823056</v>
      </c>
      <c r="W105" s="28"/>
      <c r="X105" s="20"/>
    </row>
    <row r="106" spans="1:27" ht="18.75" customHeight="1" x14ac:dyDescent="0.2">
      <c r="A106" s="20"/>
      <c r="B106" s="20"/>
      <c r="C106" s="21"/>
      <c r="D106" s="22"/>
      <c r="E106" s="52"/>
      <c r="F106" s="20"/>
      <c r="G106" s="20"/>
      <c r="H106" s="20"/>
      <c r="I106" s="34"/>
      <c r="J106" s="25"/>
      <c r="K106" s="38"/>
      <c r="L106" s="26"/>
      <c r="M106" s="26"/>
      <c r="N106" s="40"/>
      <c r="O106" s="25"/>
      <c r="P106" s="38"/>
      <c r="Q106" s="20"/>
      <c r="R106" s="27"/>
      <c r="S106" s="20"/>
      <c r="T106" s="44">
        <f>STDEV(T90:T104)</f>
        <v>0.40726994496369989</v>
      </c>
      <c r="U106" s="44">
        <f>STDEV(U90:U104)</f>
        <v>0.40120764283112892</v>
      </c>
      <c r="V106" s="44">
        <f>STDEV(V90:V104)</f>
        <v>0.50795533936512038</v>
      </c>
      <c r="W106" s="28"/>
      <c r="X106" s="20"/>
    </row>
    <row r="107" spans="1:27" ht="18.75" customHeight="1" x14ac:dyDescent="0.2">
      <c r="A107" s="20"/>
      <c r="B107" s="20"/>
      <c r="C107" s="21"/>
      <c r="D107" s="22"/>
      <c r="E107" s="52"/>
      <c r="F107" s="20"/>
      <c r="G107" s="20"/>
      <c r="H107" s="20"/>
      <c r="I107" s="34"/>
      <c r="J107" s="25"/>
      <c r="K107" s="38"/>
      <c r="L107" s="26"/>
      <c r="M107" s="26"/>
      <c r="N107" s="40"/>
      <c r="O107" s="25"/>
      <c r="P107" s="38"/>
      <c r="Q107" s="20"/>
      <c r="R107" s="27"/>
      <c r="S107" s="20"/>
      <c r="T107" s="44"/>
      <c r="U107" s="44"/>
      <c r="V107" s="44"/>
      <c r="W107" s="28"/>
      <c r="X107" s="20"/>
    </row>
    <row r="108" spans="1:27" ht="18.75" customHeight="1" x14ac:dyDescent="0.2">
      <c r="A108" s="20" t="s">
        <v>559</v>
      </c>
      <c r="B108" s="86" t="s">
        <v>563</v>
      </c>
      <c r="C108" s="98">
        <v>2022</v>
      </c>
      <c r="D108" s="99" t="s">
        <v>564</v>
      </c>
      <c r="E108" s="134" t="s">
        <v>564</v>
      </c>
      <c r="F108" s="20">
        <v>1</v>
      </c>
      <c r="G108" s="20">
        <v>1</v>
      </c>
      <c r="H108" s="20"/>
      <c r="I108" s="34">
        <v>81.400000000000006</v>
      </c>
      <c r="J108" s="25">
        <v>6.3</v>
      </c>
      <c r="K108" s="21">
        <v>20</v>
      </c>
      <c r="L108" s="26">
        <v>702.3</v>
      </c>
      <c r="M108" s="26"/>
      <c r="N108" s="24">
        <v>87.4</v>
      </c>
      <c r="O108" s="25">
        <v>7.9</v>
      </c>
      <c r="P108" s="21">
        <v>40</v>
      </c>
      <c r="Q108" s="20"/>
      <c r="R108" s="27">
        <f>(N108-I108)/SQRT((O108^2+J108^2)/2)</f>
        <v>0.8397565059148091</v>
      </c>
      <c r="S108" s="20">
        <v>-1</v>
      </c>
      <c r="T108" s="23">
        <f>(N108-I108)/SQRT((((P108-1)*O108^2) + ((K108-1)*J108^2))/(P108+K108-2))*S108</f>
        <v>-0.80928087926573489</v>
      </c>
      <c r="U108" s="23">
        <f>T108*(1-(3/(4*(K108+P108-2) -1)))</f>
        <v>-0.7987707379765695</v>
      </c>
      <c r="V108" s="23">
        <f>((N108-I108)/O108)*S108 * (1-(3/(4*(K108+P108-2)-1)))</f>
        <v>-0.74963011671872426</v>
      </c>
      <c r="W108" s="28"/>
      <c r="X108" s="20">
        <v>1</v>
      </c>
    </row>
    <row r="109" spans="1:27" ht="18.75" customHeight="1" x14ac:dyDescent="0.2">
      <c r="A109" s="20" t="s">
        <v>559</v>
      </c>
      <c r="B109" s="86" t="s">
        <v>563</v>
      </c>
      <c r="C109" s="98">
        <v>2023</v>
      </c>
      <c r="D109" s="99" t="s">
        <v>565</v>
      </c>
      <c r="E109" s="134" t="s">
        <v>566</v>
      </c>
      <c r="F109" s="20">
        <v>1</v>
      </c>
      <c r="G109" s="20">
        <v>2</v>
      </c>
      <c r="H109" s="20"/>
      <c r="I109" s="34">
        <v>816</v>
      </c>
      <c r="J109" s="25">
        <v>306.5</v>
      </c>
      <c r="K109" s="21">
        <v>20</v>
      </c>
      <c r="L109" s="26">
        <v>702.3</v>
      </c>
      <c r="M109" s="26"/>
      <c r="N109" s="24">
        <v>771.6</v>
      </c>
      <c r="O109" s="25">
        <v>282.39999999999998</v>
      </c>
      <c r="P109" s="21">
        <v>40</v>
      </c>
      <c r="Q109" s="20"/>
      <c r="R109" s="27">
        <f>(N109-I109)/SQRT((O109^2+J109^2)/2)</f>
        <v>-0.15066349838712362</v>
      </c>
      <c r="S109" s="20">
        <v>1</v>
      </c>
      <c r="T109" s="23">
        <f>(N109-I109)/SQRT((((P109-1)*O109^2) + ((K109-1)*J109^2))/(P109+K109-2))*S109</f>
        <v>-0.15283198646924889</v>
      </c>
      <c r="U109" s="23">
        <f>T109*(1-(3/(4*(K109+P109-2) -1)))</f>
        <v>-0.15084715547614178</v>
      </c>
      <c r="V109" s="23">
        <f>((N109-I109)/O109)*S109 * (1-(3/(4*(K109+P109-2)-1)))</f>
        <v>-0.15518192855303331</v>
      </c>
      <c r="W109" s="28"/>
      <c r="X109" s="20">
        <v>1</v>
      </c>
    </row>
    <row r="110" spans="1:27" ht="18.75" customHeight="1" x14ac:dyDescent="0.2">
      <c r="A110" s="20" t="s">
        <v>559</v>
      </c>
      <c r="B110" s="98" t="s">
        <v>546</v>
      </c>
      <c r="C110" s="21">
        <v>2021</v>
      </c>
      <c r="D110" s="22" t="s">
        <v>547</v>
      </c>
      <c r="E110" s="23" t="s">
        <v>211</v>
      </c>
      <c r="F110" s="21">
        <v>2</v>
      </c>
      <c r="G110" s="20">
        <v>3</v>
      </c>
      <c r="H110" s="20"/>
      <c r="I110" s="109" t="s">
        <v>75</v>
      </c>
      <c r="J110" s="109" t="s">
        <v>75</v>
      </c>
      <c r="K110" s="21">
        <v>153</v>
      </c>
      <c r="L110" s="89">
        <v>908</v>
      </c>
      <c r="M110" s="26"/>
      <c r="N110" s="24" t="s">
        <v>75</v>
      </c>
      <c r="O110" s="25" t="s">
        <v>75</v>
      </c>
      <c r="P110" s="21">
        <v>76</v>
      </c>
      <c r="Q110" s="21"/>
      <c r="R110" s="27">
        <v>0.33</v>
      </c>
      <c r="S110" s="20">
        <v>-1</v>
      </c>
      <c r="T110" s="24" t="s">
        <v>75</v>
      </c>
      <c r="U110" s="25" t="s">
        <v>75</v>
      </c>
      <c r="V110" s="23">
        <v>-0.33</v>
      </c>
      <c r="W110" s="28"/>
      <c r="X110" s="20">
        <v>1</v>
      </c>
      <c r="Z110" s="25" t="s">
        <v>75</v>
      </c>
    </row>
    <row r="111" spans="1:27" ht="18.75" customHeight="1" x14ac:dyDescent="0.2">
      <c r="A111" s="20" t="s">
        <v>559</v>
      </c>
      <c r="B111" s="98" t="s">
        <v>546</v>
      </c>
      <c r="C111" s="21">
        <v>2021</v>
      </c>
      <c r="D111" s="22" t="s">
        <v>560</v>
      </c>
      <c r="E111" s="23" t="s">
        <v>561</v>
      </c>
      <c r="F111" s="21">
        <v>2</v>
      </c>
      <c r="G111" s="20">
        <v>4</v>
      </c>
      <c r="H111" s="20"/>
      <c r="I111" s="109" t="s">
        <v>75</v>
      </c>
      <c r="J111" s="109" t="s">
        <v>75</v>
      </c>
      <c r="K111" s="21">
        <v>153</v>
      </c>
      <c r="L111" s="89">
        <v>908</v>
      </c>
      <c r="M111" s="26"/>
      <c r="N111" s="24" t="s">
        <v>75</v>
      </c>
      <c r="O111" s="25" t="s">
        <v>75</v>
      </c>
      <c r="P111" s="21">
        <v>76</v>
      </c>
      <c r="Q111" s="21"/>
      <c r="R111" s="27">
        <v>0.33</v>
      </c>
      <c r="S111" s="20">
        <v>-1</v>
      </c>
      <c r="T111" s="24" t="s">
        <v>75</v>
      </c>
      <c r="U111" s="25" t="s">
        <v>75</v>
      </c>
      <c r="V111" s="23">
        <v>-0.47</v>
      </c>
      <c r="W111" s="28"/>
      <c r="X111" s="20">
        <v>1</v>
      </c>
      <c r="Z111" s="25" t="s">
        <v>75</v>
      </c>
    </row>
    <row r="112" spans="1:27" ht="18.75" customHeight="1" x14ac:dyDescent="0.2">
      <c r="A112" s="20" t="s">
        <v>559</v>
      </c>
      <c r="B112" s="20" t="s">
        <v>33</v>
      </c>
      <c r="C112" s="21">
        <v>2005</v>
      </c>
      <c r="D112" s="22" t="s">
        <v>203</v>
      </c>
      <c r="E112" s="23" t="s">
        <v>204</v>
      </c>
      <c r="F112" s="8">
        <v>3</v>
      </c>
      <c r="G112" s="20">
        <v>5</v>
      </c>
      <c r="H112" s="20"/>
      <c r="I112" s="34">
        <v>95.18</v>
      </c>
      <c r="J112" s="45">
        <v>3.46</v>
      </c>
      <c r="K112" s="20">
        <v>25</v>
      </c>
      <c r="L112" s="26">
        <v>758.79</v>
      </c>
      <c r="M112" s="26"/>
      <c r="N112" s="34">
        <v>94.6</v>
      </c>
      <c r="O112" s="45">
        <v>3.7</v>
      </c>
      <c r="P112" s="20">
        <v>25</v>
      </c>
      <c r="Q112" s="20"/>
      <c r="R112" s="27">
        <f t="shared" ref="R112:R119" si="20">(N112-I112)/SQRT((O112^2+J112^2)/2)</f>
        <v>-0.16192023513561832</v>
      </c>
      <c r="S112" s="20">
        <v>-1</v>
      </c>
      <c r="T112" s="23">
        <f t="shared" ref="T112:T119" si="21">(N112-I112)/SQRT((((P112-1)*O112^2) + ((K112-1)*J112^2))/(P112+K112-2))*S112</f>
        <v>0.16192023513561829</v>
      </c>
      <c r="U112" s="23">
        <f t="shared" ref="U112:U119" si="22">T112*(1-(3/(4*(K112+P112-2) -1)))</f>
        <v>0.15937698536909026</v>
      </c>
      <c r="V112" s="23">
        <f t="shared" ref="V112:V119" si="23">((N112-I112)/O112)*S112 * (1-(3/(4*(K112+P112-2)-1)))</f>
        <v>0.15429460874487386</v>
      </c>
      <c r="W112" s="28"/>
      <c r="X112" s="20">
        <v>2</v>
      </c>
      <c r="Y112" s="29" t="s">
        <v>31</v>
      </c>
      <c r="Z112" s="8" t="s">
        <v>32</v>
      </c>
      <c r="AA112" s="29" t="s">
        <v>31</v>
      </c>
    </row>
    <row r="113" spans="1:27" ht="18.75" customHeight="1" x14ac:dyDescent="0.2">
      <c r="A113" s="20" t="s">
        <v>559</v>
      </c>
      <c r="B113" s="20" t="s">
        <v>38</v>
      </c>
      <c r="C113" s="21">
        <v>2007</v>
      </c>
      <c r="D113" s="22" t="s">
        <v>203</v>
      </c>
      <c r="E113" s="23" t="s">
        <v>205</v>
      </c>
      <c r="F113" s="8">
        <v>3</v>
      </c>
      <c r="G113" s="20">
        <v>6</v>
      </c>
      <c r="H113" s="20"/>
      <c r="I113" s="34">
        <v>92.43</v>
      </c>
      <c r="J113" s="45">
        <v>4.99</v>
      </c>
      <c r="K113" s="20">
        <v>25</v>
      </c>
      <c r="L113" s="26">
        <v>1285.68</v>
      </c>
      <c r="M113" s="26"/>
      <c r="N113" s="34">
        <v>93.88</v>
      </c>
      <c r="O113" s="45">
        <v>4.8600000000000003</v>
      </c>
      <c r="P113" s="20">
        <v>45</v>
      </c>
      <c r="Q113" s="20"/>
      <c r="R113" s="27">
        <f t="shared" si="20"/>
        <v>0.29439060535135325</v>
      </c>
      <c r="S113" s="20">
        <v>-1</v>
      </c>
      <c r="T113" s="23">
        <f t="shared" si="21"/>
        <v>-0.29553985358919804</v>
      </c>
      <c r="U113" s="23">
        <f t="shared" si="22"/>
        <v>-0.29226819469337667</v>
      </c>
      <c r="V113" s="23">
        <f t="shared" si="23"/>
        <v>-0.29505109865913243</v>
      </c>
      <c r="W113" s="28"/>
      <c r="X113" s="20">
        <v>2</v>
      </c>
      <c r="Y113" s="29" t="s">
        <v>31</v>
      </c>
      <c r="Z113" s="8" t="s">
        <v>32</v>
      </c>
      <c r="AA113" s="29" t="s">
        <v>31</v>
      </c>
    </row>
    <row r="114" spans="1:27" ht="18.75" customHeight="1" x14ac:dyDescent="0.2">
      <c r="A114" s="20" t="s">
        <v>559</v>
      </c>
      <c r="B114" s="20" t="s">
        <v>38</v>
      </c>
      <c r="C114" s="21">
        <v>2007</v>
      </c>
      <c r="D114" s="22" t="s">
        <v>206</v>
      </c>
      <c r="E114" s="23" t="s">
        <v>207</v>
      </c>
      <c r="F114" s="8">
        <v>3</v>
      </c>
      <c r="G114" s="20">
        <v>7</v>
      </c>
      <c r="H114" s="20"/>
      <c r="I114" s="34">
        <v>0.84</v>
      </c>
      <c r="J114" s="45">
        <v>0.68</v>
      </c>
      <c r="K114" s="20">
        <v>25</v>
      </c>
      <c r="L114" s="26">
        <v>1285.68</v>
      </c>
      <c r="M114" s="26"/>
      <c r="N114" s="34">
        <v>0.63</v>
      </c>
      <c r="O114" s="45">
        <v>0.26</v>
      </c>
      <c r="P114" s="20">
        <v>45</v>
      </c>
      <c r="Q114" s="20"/>
      <c r="R114" s="27">
        <f t="shared" si="20"/>
        <v>-0.4079400621900508</v>
      </c>
      <c r="S114" s="20">
        <v>1</v>
      </c>
      <c r="T114" s="23">
        <f t="shared" si="21"/>
        <v>-0.46163192738837849</v>
      </c>
      <c r="U114" s="23">
        <f t="shared" si="22"/>
        <v>-0.45652161084902376</v>
      </c>
      <c r="V114" s="23">
        <f t="shared" si="23"/>
        <v>-0.79875106443372113</v>
      </c>
      <c r="W114" s="28"/>
      <c r="X114" s="20">
        <v>2</v>
      </c>
      <c r="Y114" s="29" t="s">
        <v>31</v>
      </c>
      <c r="Z114" s="8" t="s">
        <v>32</v>
      </c>
      <c r="AA114" s="29" t="s">
        <v>31</v>
      </c>
    </row>
    <row r="115" spans="1:27" ht="18.75" customHeight="1" x14ac:dyDescent="0.2">
      <c r="A115" s="20" t="s">
        <v>559</v>
      </c>
      <c r="B115" s="20" t="s">
        <v>41</v>
      </c>
      <c r="C115" s="21">
        <v>2007</v>
      </c>
      <c r="D115" s="22" t="s">
        <v>208</v>
      </c>
      <c r="E115" s="23" t="s">
        <v>209</v>
      </c>
      <c r="F115" s="20">
        <v>4</v>
      </c>
      <c r="G115" s="20">
        <v>8</v>
      </c>
      <c r="H115" s="20"/>
      <c r="I115" s="34">
        <v>106</v>
      </c>
      <c r="J115" s="45">
        <v>5.4</v>
      </c>
      <c r="K115" s="20">
        <v>12</v>
      </c>
      <c r="L115" s="30" t="s">
        <v>44</v>
      </c>
      <c r="M115" s="30"/>
      <c r="N115" s="34">
        <v>105</v>
      </c>
      <c r="O115" s="45">
        <v>5.2</v>
      </c>
      <c r="P115" s="20">
        <v>12</v>
      </c>
      <c r="Q115" s="20"/>
      <c r="R115" s="27">
        <f t="shared" si="20"/>
        <v>-0.18864566947613623</v>
      </c>
      <c r="S115" s="20">
        <v>-1</v>
      </c>
      <c r="T115" s="23">
        <f t="shared" si="21"/>
        <v>0.18864566947613623</v>
      </c>
      <c r="U115" s="23">
        <f t="shared" si="22"/>
        <v>0.18214064639075223</v>
      </c>
      <c r="V115" s="23">
        <f t="shared" si="23"/>
        <v>0.1856763925729443</v>
      </c>
      <c r="W115" s="28"/>
      <c r="X115" s="20">
        <v>1</v>
      </c>
      <c r="Y115" s="29" t="s">
        <v>63</v>
      </c>
      <c r="Z115" s="32" t="s">
        <v>210</v>
      </c>
      <c r="AA115" s="29" t="s">
        <v>48</v>
      </c>
    </row>
    <row r="116" spans="1:27" ht="18.75" customHeight="1" x14ac:dyDescent="0.2">
      <c r="A116" s="20" t="s">
        <v>559</v>
      </c>
      <c r="B116" s="20" t="s">
        <v>60</v>
      </c>
      <c r="C116" s="21">
        <v>2017</v>
      </c>
      <c r="D116" s="22" t="s">
        <v>211</v>
      </c>
      <c r="E116" s="23" t="s">
        <v>211</v>
      </c>
      <c r="F116" s="20">
        <v>5</v>
      </c>
      <c r="G116" s="20">
        <v>9</v>
      </c>
      <c r="H116" s="20"/>
      <c r="I116" s="34">
        <v>6.1</v>
      </c>
      <c r="J116" s="45">
        <v>1</v>
      </c>
      <c r="K116" s="20">
        <v>37</v>
      </c>
      <c r="L116" s="26">
        <v>720</v>
      </c>
      <c r="M116" s="26"/>
      <c r="N116" s="34">
        <v>6.5</v>
      </c>
      <c r="O116" s="45">
        <v>0.9</v>
      </c>
      <c r="P116" s="20">
        <v>30</v>
      </c>
      <c r="Q116" s="20"/>
      <c r="R116" s="27">
        <f t="shared" si="20"/>
        <v>0.42047066498210972</v>
      </c>
      <c r="S116" s="20">
        <v>-1</v>
      </c>
      <c r="T116" s="23">
        <f t="shared" si="21"/>
        <v>-0.41811397651944299</v>
      </c>
      <c r="U116" s="23">
        <f t="shared" si="22"/>
        <v>-0.41327095748639925</v>
      </c>
      <c r="V116" s="23">
        <f t="shared" si="23"/>
        <v>-0.43929643929643969</v>
      </c>
      <c r="W116" s="28"/>
      <c r="X116" s="20">
        <v>1</v>
      </c>
      <c r="Y116" s="29" t="s">
        <v>63</v>
      </c>
      <c r="Z116" s="8" t="s">
        <v>32</v>
      </c>
      <c r="AA116" s="29" t="s">
        <v>48</v>
      </c>
    </row>
    <row r="117" spans="1:27" ht="18.75" customHeight="1" x14ac:dyDescent="0.2">
      <c r="A117" s="20" t="s">
        <v>559</v>
      </c>
      <c r="B117" s="20" t="s">
        <v>60</v>
      </c>
      <c r="C117" s="21">
        <v>2017</v>
      </c>
      <c r="D117" s="22" t="s">
        <v>212</v>
      </c>
      <c r="E117" s="23" t="s">
        <v>213</v>
      </c>
      <c r="F117" s="20">
        <v>5</v>
      </c>
      <c r="G117" s="20">
        <v>10</v>
      </c>
      <c r="H117" s="20"/>
      <c r="I117" s="34">
        <v>48.2</v>
      </c>
      <c r="J117" s="45">
        <v>12.5</v>
      </c>
      <c r="K117" s="20">
        <v>37</v>
      </c>
      <c r="L117" s="26">
        <v>720</v>
      </c>
      <c r="M117" s="26"/>
      <c r="N117" s="34">
        <v>39.299999999999997</v>
      </c>
      <c r="O117" s="45">
        <v>10.4</v>
      </c>
      <c r="P117" s="20">
        <v>30</v>
      </c>
      <c r="Q117" s="20"/>
      <c r="R117" s="27">
        <f t="shared" si="20"/>
        <v>-0.7740447447147154</v>
      </c>
      <c r="S117" s="20">
        <v>1</v>
      </c>
      <c r="T117" s="23">
        <f t="shared" si="21"/>
        <v>-0.76657381891955134</v>
      </c>
      <c r="U117" s="23">
        <f t="shared" si="22"/>
        <v>-0.75769458549577273</v>
      </c>
      <c r="V117" s="23">
        <f t="shared" si="23"/>
        <v>-0.8458568458568464</v>
      </c>
      <c r="W117" s="28"/>
      <c r="X117" s="20">
        <v>1</v>
      </c>
      <c r="Y117" s="29" t="s">
        <v>63</v>
      </c>
      <c r="Z117" s="8" t="s">
        <v>32</v>
      </c>
      <c r="AA117" s="29" t="s">
        <v>48</v>
      </c>
    </row>
    <row r="118" spans="1:27" ht="18.75" customHeight="1" x14ac:dyDescent="0.2">
      <c r="A118" s="20" t="s">
        <v>559</v>
      </c>
      <c r="B118" s="135" t="s">
        <v>509</v>
      </c>
      <c r="C118" s="21">
        <v>2021</v>
      </c>
      <c r="D118" s="22" t="s">
        <v>211</v>
      </c>
      <c r="E118" s="132" t="s">
        <v>211</v>
      </c>
      <c r="F118" s="21">
        <v>6</v>
      </c>
      <c r="G118" s="20">
        <v>11</v>
      </c>
      <c r="H118" s="20"/>
      <c r="I118" s="24">
        <v>14</v>
      </c>
      <c r="J118" s="25">
        <f>(16-12)/1.35</f>
        <v>2.9629629629629628</v>
      </c>
      <c r="K118" s="21">
        <v>19</v>
      </c>
      <c r="L118" s="26">
        <v>890</v>
      </c>
      <c r="M118" s="26"/>
      <c r="N118" s="24">
        <v>19</v>
      </c>
      <c r="O118" s="25">
        <f>(21-18)/1.35</f>
        <v>2.2222222222222219</v>
      </c>
      <c r="P118" s="21">
        <v>25</v>
      </c>
      <c r="Q118" s="21"/>
      <c r="R118" s="27">
        <f>(N118-I118)/SQRT((O118^2+J118^2)/2)</f>
        <v>1.9091883092036783</v>
      </c>
      <c r="S118" s="20">
        <v>-1</v>
      </c>
      <c r="T118" s="136">
        <f>(N118-I118)/SQRT((((P118-1)*O118^2) + ((K118-1)*J118^2))/(P118+K118-2))*S118</f>
        <v>-1.9485571585149872</v>
      </c>
      <c r="U118" s="136">
        <f>T118*(1-(3/(4*(K118+P118-2) -1)))</f>
        <v>-1.9135531377033408</v>
      </c>
      <c r="V118" s="136">
        <f>((N118-I118)/O118)*S118 * (1-(3/(4*(K118+P118-2)-1)))</f>
        <v>-2.2095808383233537</v>
      </c>
      <c r="W118" s="28"/>
      <c r="X118" s="20">
        <v>1</v>
      </c>
      <c r="Z118" s="8" t="s">
        <v>32</v>
      </c>
      <c r="AA118" s="29"/>
    </row>
    <row r="119" spans="1:27" ht="18.75" customHeight="1" x14ac:dyDescent="0.2">
      <c r="A119" s="20" t="s">
        <v>559</v>
      </c>
      <c r="B119" s="21" t="s">
        <v>77</v>
      </c>
      <c r="C119" s="21">
        <v>2020</v>
      </c>
      <c r="D119" s="22" t="s">
        <v>211</v>
      </c>
      <c r="E119" s="23" t="s">
        <v>211</v>
      </c>
      <c r="F119" s="21">
        <v>7</v>
      </c>
      <c r="G119" s="20">
        <v>12</v>
      </c>
      <c r="H119" s="20"/>
      <c r="I119" s="24">
        <v>5.9</v>
      </c>
      <c r="J119" s="25">
        <v>0.9</v>
      </c>
      <c r="K119" s="21">
        <v>19</v>
      </c>
      <c r="L119" s="26">
        <v>1042</v>
      </c>
      <c r="M119" s="26"/>
      <c r="N119" s="24">
        <v>5.9</v>
      </c>
      <c r="O119" s="25">
        <v>1.1000000000000001</v>
      </c>
      <c r="P119" s="21">
        <v>19</v>
      </c>
      <c r="Q119" s="21"/>
      <c r="R119" s="27">
        <f t="shared" si="20"/>
        <v>0</v>
      </c>
      <c r="S119" s="20">
        <v>-1</v>
      </c>
      <c r="T119" s="23">
        <f t="shared" si="21"/>
        <v>0</v>
      </c>
      <c r="U119" s="23">
        <f t="shared" si="22"/>
        <v>0</v>
      </c>
      <c r="V119" s="23">
        <f t="shared" si="23"/>
        <v>0</v>
      </c>
      <c r="W119" s="28"/>
      <c r="X119" s="20">
        <v>1</v>
      </c>
      <c r="Y119" s="29" t="s">
        <v>63</v>
      </c>
      <c r="Z119" s="42" t="s">
        <v>44</v>
      </c>
      <c r="AA119" s="29" t="s">
        <v>48</v>
      </c>
    </row>
    <row r="120" spans="1:27" ht="18.75" customHeight="1" x14ac:dyDescent="0.2">
      <c r="A120" s="20"/>
      <c r="B120" s="8"/>
      <c r="D120" s="22"/>
      <c r="E120" s="23"/>
      <c r="F120" s="37">
        <v>7</v>
      </c>
      <c r="G120" s="37">
        <v>12</v>
      </c>
      <c r="H120" s="37"/>
      <c r="I120" s="34"/>
      <c r="J120" s="25">
        <f>AVERAGE(J112:J119)</f>
        <v>3.9866203703703702</v>
      </c>
      <c r="K120" s="38">
        <f>SUM(K119,K117,K115,K114,K112)</f>
        <v>118</v>
      </c>
      <c r="L120" s="39">
        <f>AVERAGE(L119,L117,L115,L114,L112)</f>
        <v>951.61750000000006</v>
      </c>
      <c r="M120" s="39"/>
      <c r="N120" s="34"/>
      <c r="O120" s="25">
        <f>AVERAGE(O112:O119)</f>
        <v>3.5802777777777779</v>
      </c>
      <c r="P120" s="38">
        <f>SUM(P119,P117,P115,P114,P112)</f>
        <v>131</v>
      </c>
      <c r="Q120" s="20"/>
      <c r="R120" s="27"/>
      <c r="S120" s="20"/>
      <c r="T120" s="41">
        <f>AVERAGE(T108:T119)</f>
        <v>-0.45019636960547871</v>
      </c>
      <c r="U120" s="41">
        <f>AVERAGE(U108:U119)</f>
        <v>-0.4441408747920782</v>
      </c>
      <c r="V120" s="41">
        <f>AVERAGE(V108:V119)</f>
        <v>-0.49611477754361938</v>
      </c>
      <c r="W120" s="41" t="e">
        <f>AVERAGE(W108:W119)</f>
        <v>#DIV/0!</v>
      </c>
      <c r="X120" s="20"/>
      <c r="AA120" s="29"/>
    </row>
    <row r="121" spans="1:27" ht="18.75" customHeight="1" x14ac:dyDescent="0.2">
      <c r="A121" s="20"/>
      <c r="C121" s="21"/>
      <c r="D121" s="22"/>
      <c r="E121" s="23"/>
      <c r="F121" s="21"/>
      <c r="G121" s="20"/>
      <c r="H121" s="20"/>
      <c r="I121" s="24"/>
      <c r="J121" s="25"/>
      <c r="K121" s="21"/>
      <c r="L121" s="26"/>
      <c r="M121" s="26"/>
      <c r="N121" s="24"/>
      <c r="O121" s="25"/>
      <c r="P121" s="21"/>
      <c r="Q121" s="21"/>
      <c r="R121" s="27"/>
      <c r="S121" s="20"/>
      <c r="T121" s="44">
        <f>STDEV(T108:T119)</f>
        <v>0.63008891395402322</v>
      </c>
      <c r="U121" s="44">
        <f>STDEV(U108:U119)</f>
        <v>0.61888491901809284</v>
      </c>
      <c r="V121" s="44">
        <f>STDEV(V108:V119)</f>
        <v>0.64217753719265525</v>
      </c>
      <c r="W121" s="21"/>
      <c r="X121" s="20"/>
      <c r="AA121" s="29"/>
    </row>
    <row r="122" spans="1:27" ht="18.75" customHeight="1" x14ac:dyDescent="0.2">
      <c r="A122" s="20"/>
      <c r="C122" s="21"/>
      <c r="D122" s="22"/>
      <c r="E122" s="23"/>
      <c r="F122" s="21"/>
      <c r="G122" s="20"/>
      <c r="H122" s="20"/>
      <c r="I122" s="24"/>
      <c r="J122" s="25"/>
      <c r="K122" s="21"/>
      <c r="L122" s="26"/>
      <c r="M122" s="26"/>
      <c r="N122" s="24"/>
      <c r="O122" s="25"/>
      <c r="P122" s="21"/>
      <c r="Q122" s="21"/>
      <c r="R122" s="27"/>
      <c r="S122" s="20"/>
      <c r="T122" s="44"/>
      <c r="U122" s="44"/>
      <c r="V122" s="44"/>
      <c r="W122" s="21"/>
      <c r="X122" s="20"/>
      <c r="AA122" s="29"/>
    </row>
    <row r="123" spans="1:27" ht="18.75" customHeight="1" x14ac:dyDescent="0.2">
      <c r="A123" s="20" t="s">
        <v>214</v>
      </c>
      <c r="B123" s="20" t="s">
        <v>28</v>
      </c>
      <c r="C123" s="21">
        <v>2004</v>
      </c>
      <c r="D123" s="22" t="s">
        <v>215</v>
      </c>
      <c r="E123" s="23" t="s">
        <v>216</v>
      </c>
      <c r="F123" s="20">
        <v>1</v>
      </c>
      <c r="G123" s="20">
        <v>1</v>
      </c>
      <c r="H123" s="20"/>
      <c r="I123" s="34">
        <v>13.53</v>
      </c>
      <c r="J123" s="45">
        <v>3.25</v>
      </c>
      <c r="K123" s="20">
        <v>20</v>
      </c>
      <c r="L123" s="26">
        <v>858.5</v>
      </c>
      <c r="M123" s="26"/>
      <c r="N123" s="34">
        <v>17.62</v>
      </c>
      <c r="O123" s="45">
        <v>3.57</v>
      </c>
      <c r="P123" s="20">
        <v>20</v>
      </c>
      <c r="Q123" s="20"/>
      <c r="R123" s="27">
        <f t="shared" ref="R123:R132" si="24">(N123-I123)/SQRT((O123^2+J123^2)/2)</f>
        <v>1.1980953733222595</v>
      </c>
      <c r="S123" s="20">
        <v>-1</v>
      </c>
      <c r="T123" s="23">
        <f t="shared" ref="T123:T132" si="25">(N123-I123)/SQRT((((P123-1)*O123^2) + ((K123-1)*J123^2))/(P123+K123-2))*S123</f>
        <v>-1.1980953733222595</v>
      </c>
      <c r="U123" s="23">
        <f t="shared" ref="U123:U132" si="26">T123*(1-(3/(4*(K123+P123-2) -1)))</f>
        <v>-1.1742921539847311</v>
      </c>
      <c r="V123" s="23">
        <f t="shared" ref="V123:V132" si="27">((N123-I123)/O123)*S123 * (1-(3/(4*(K123+P123-2)-1)))</f>
        <v>-1.1228968408555482</v>
      </c>
      <c r="W123" s="28"/>
      <c r="X123" s="20">
        <v>2</v>
      </c>
      <c r="Y123" s="29" t="s">
        <v>31</v>
      </c>
      <c r="Z123" s="8" t="s">
        <v>32</v>
      </c>
      <c r="AA123" s="29" t="s">
        <v>31</v>
      </c>
    </row>
    <row r="124" spans="1:27" ht="18.75" customHeight="1" x14ac:dyDescent="0.2">
      <c r="A124" s="20" t="s">
        <v>214</v>
      </c>
      <c r="B124" s="20" t="s">
        <v>73</v>
      </c>
      <c r="C124" s="21">
        <v>1996</v>
      </c>
      <c r="D124" s="22" t="s">
        <v>217</v>
      </c>
      <c r="E124" s="20" t="s">
        <v>218</v>
      </c>
      <c r="F124" s="20">
        <v>2</v>
      </c>
      <c r="G124" s="20">
        <v>2</v>
      </c>
      <c r="H124" s="20"/>
      <c r="I124" s="24">
        <v>8.9</v>
      </c>
      <c r="J124" s="25">
        <v>4.0599999999999996</v>
      </c>
      <c r="K124" s="21">
        <v>11</v>
      </c>
      <c r="L124" s="35">
        <v>566</v>
      </c>
      <c r="M124" s="35"/>
      <c r="N124" s="24">
        <v>4.68</v>
      </c>
      <c r="O124" s="25">
        <v>2.5299999999999998</v>
      </c>
      <c r="P124" s="21">
        <v>22</v>
      </c>
      <c r="Q124" s="20"/>
      <c r="R124" s="27">
        <f t="shared" si="24"/>
        <v>-1.2475464788947848</v>
      </c>
      <c r="S124" s="20">
        <v>1</v>
      </c>
      <c r="T124" s="23">
        <f t="shared" si="25"/>
        <v>-1.3582279483851356</v>
      </c>
      <c r="U124" s="23">
        <f t="shared" si="26"/>
        <v>-1.3251004374489128</v>
      </c>
      <c r="V124" s="23">
        <f t="shared" si="27"/>
        <v>-1.6273016485105565</v>
      </c>
      <c r="W124" s="28"/>
      <c r="X124" s="31" t="s">
        <v>75</v>
      </c>
      <c r="Y124" s="32" t="s">
        <v>75</v>
      </c>
      <c r="Z124" s="42" t="s">
        <v>44</v>
      </c>
      <c r="AA124" s="32" t="s">
        <v>75</v>
      </c>
    </row>
    <row r="125" spans="1:27" ht="18.75" customHeight="1" x14ac:dyDescent="0.2">
      <c r="A125" s="20" t="s">
        <v>214</v>
      </c>
      <c r="B125" s="20" t="s">
        <v>76</v>
      </c>
      <c r="C125" s="21">
        <v>1996</v>
      </c>
      <c r="D125" s="22" t="s">
        <v>217</v>
      </c>
      <c r="E125" s="20" t="s">
        <v>218</v>
      </c>
      <c r="F125" s="20">
        <v>3</v>
      </c>
      <c r="G125" s="20">
        <v>3</v>
      </c>
      <c r="H125" s="20"/>
      <c r="I125" s="24">
        <v>9.3000000000000007</v>
      </c>
      <c r="J125" s="25">
        <v>3.65</v>
      </c>
      <c r="K125" s="21">
        <v>11</v>
      </c>
      <c r="L125" s="35">
        <v>1545</v>
      </c>
      <c r="M125" s="35"/>
      <c r="N125" s="24">
        <v>4.68</v>
      </c>
      <c r="O125" s="25">
        <v>2.5299999999999998</v>
      </c>
      <c r="P125" s="21">
        <v>22</v>
      </c>
      <c r="Q125" s="20"/>
      <c r="R125" s="27">
        <f t="shared" si="24"/>
        <v>-1.4711809142647732</v>
      </c>
      <c r="S125" s="20">
        <v>1</v>
      </c>
      <c r="T125" s="23">
        <f t="shared" si="25"/>
        <v>-1.572331617748068</v>
      </c>
      <c r="U125" s="23">
        <f t="shared" si="26"/>
        <v>-1.533982066095676</v>
      </c>
      <c r="V125" s="23">
        <f t="shared" si="27"/>
        <v>-1.7815482502651119</v>
      </c>
      <c r="W125" s="28"/>
      <c r="X125" s="31" t="s">
        <v>75</v>
      </c>
      <c r="Y125" s="32" t="s">
        <v>75</v>
      </c>
      <c r="Z125" s="42" t="s">
        <v>44</v>
      </c>
      <c r="AA125" s="32" t="s">
        <v>75</v>
      </c>
    </row>
    <row r="126" spans="1:27" ht="18.75" customHeight="1" x14ac:dyDescent="0.2">
      <c r="A126" s="20" t="s">
        <v>214</v>
      </c>
      <c r="B126" s="20" t="s">
        <v>159</v>
      </c>
      <c r="C126" s="21">
        <v>2017</v>
      </c>
      <c r="D126" s="22" t="s">
        <v>219</v>
      </c>
      <c r="E126" s="23" t="s">
        <v>220</v>
      </c>
      <c r="F126" s="20">
        <v>4</v>
      </c>
      <c r="G126" s="20">
        <v>6</v>
      </c>
      <c r="H126" s="20"/>
      <c r="I126" s="34">
        <v>4.5</v>
      </c>
      <c r="J126" s="45">
        <v>2.6</v>
      </c>
      <c r="K126" s="20">
        <v>57</v>
      </c>
      <c r="L126" s="26">
        <v>655</v>
      </c>
      <c r="M126" s="26"/>
      <c r="N126" s="34">
        <v>3.9</v>
      </c>
      <c r="O126" s="45">
        <v>2.6</v>
      </c>
      <c r="P126" s="20">
        <v>57</v>
      </c>
      <c r="Q126" s="20"/>
      <c r="R126" s="27">
        <f t="shared" si="24"/>
        <v>-0.23076923076923078</v>
      </c>
      <c r="S126" s="20">
        <v>1</v>
      </c>
      <c r="T126" s="23">
        <f t="shared" si="25"/>
        <v>-0.23076923076923078</v>
      </c>
      <c r="U126" s="23">
        <f t="shared" si="26"/>
        <v>-0.22922044398554467</v>
      </c>
      <c r="V126" s="23">
        <f t="shared" si="27"/>
        <v>-0.22922044398554467</v>
      </c>
      <c r="W126" s="28"/>
      <c r="X126" s="20">
        <v>1</v>
      </c>
      <c r="Y126" s="29" t="s">
        <v>63</v>
      </c>
      <c r="Z126" s="8" t="s">
        <v>32</v>
      </c>
      <c r="AA126" s="29" t="s">
        <v>48</v>
      </c>
    </row>
    <row r="127" spans="1:27" ht="18.75" customHeight="1" x14ac:dyDescent="0.2">
      <c r="A127" s="20" t="s">
        <v>214</v>
      </c>
      <c r="B127" s="20" t="s">
        <v>159</v>
      </c>
      <c r="C127" s="21">
        <v>2017</v>
      </c>
      <c r="D127" s="22" t="s">
        <v>221</v>
      </c>
      <c r="E127" s="23" t="s">
        <v>222</v>
      </c>
      <c r="F127" s="20">
        <v>4</v>
      </c>
      <c r="G127" s="20">
        <v>7</v>
      </c>
      <c r="H127" s="20"/>
      <c r="I127" s="34">
        <v>1705</v>
      </c>
      <c r="J127" s="45">
        <v>457</v>
      </c>
      <c r="K127" s="20">
        <v>57</v>
      </c>
      <c r="L127" s="26">
        <v>655</v>
      </c>
      <c r="M127" s="26"/>
      <c r="N127" s="34">
        <v>1539</v>
      </c>
      <c r="O127" s="45">
        <v>318</v>
      </c>
      <c r="P127" s="20">
        <v>57</v>
      </c>
      <c r="Q127" s="20"/>
      <c r="R127" s="27">
        <f t="shared" si="24"/>
        <v>-0.42165878460045436</v>
      </c>
      <c r="S127" s="20">
        <v>1</v>
      </c>
      <c r="T127" s="23">
        <f t="shared" si="25"/>
        <v>-0.42165878460045436</v>
      </c>
      <c r="U127" s="23">
        <f t="shared" si="26"/>
        <v>-0.41882885987159224</v>
      </c>
      <c r="V127" s="23">
        <f t="shared" si="27"/>
        <v>-0.51850913849141023</v>
      </c>
      <c r="W127" s="28"/>
      <c r="X127" s="20">
        <v>1</v>
      </c>
      <c r="Y127" s="29" t="s">
        <v>63</v>
      </c>
      <c r="Z127" s="8" t="s">
        <v>32</v>
      </c>
      <c r="AA127" s="29" t="s">
        <v>48</v>
      </c>
    </row>
    <row r="128" spans="1:27" ht="18.75" customHeight="1" x14ac:dyDescent="0.2">
      <c r="A128" s="20" t="s">
        <v>214</v>
      </c>
      <c r="B128" s="20" t="s">
        <v>159</v>
      </c>
      <c r="C128" s="21">
        <v>2017</v>
      </c>
      <c r="D128" s="22" t="s">
        <v>223</v>
      </c>
      <c r="E128" s="23" t="s">
        <v>224</v>
      </c>
      <c r="F128" s="20">
        <v>4</v>
      </c>
      <c r="G128" s="20">
        <v>8</v>
      </c>
      <c r="H128" s="20"/>
      <c r="I128" s="34">
        <v>98.6</v>
      </c>
      <c r="J128" s="45">
        <v>5.6</v>
      </c>
      <c r="K128" s="20">
        <v>57</v>
      </c>
      <c r="L128" s="26">
        <v>655</v>
      </c>
      <c r="M128" s="26"/>
      <c r="N128" s="34">
        <v>100.7</v>
      </c>
      <c r="O128" s="45">
        <v>3.5</v>
      </c>
      <c r="P128" s="20">
        <v>57</v>
      </c>
      <c r="Q128" s="20"/>
      <c r="R128" s="27">
        <f t="shared" si="24"/>
        <v>0.44971901339751869</v>
      </c>
      <c r="S128" s="20">
        <v>-1</v>
      </c>
      <c r="T128" s="23">
        <f t="shared" si="25"/>
        <v>-0.44971901339751869</v>
      </c>
      <c r="U128" s="23">
        <f t="shared" si="26"/>
        <v>-0.4467007649854548</v>
      </c>
      <c r="V128" s="23">
        <f t="shared" si="27"/>
        <v>-0.59597315436241849</v>
      </c>
      <c r="W128" s="28"/>
      <c r="X128" s="20">
        <v>1</v>
      </c>
      <c r="Y128" s="29" t="s">
        <v>63</v>
      </c>
      <c r="Z128" s="8" t="s">
        <v>32</v>
      </c>
      <c r="AA128" s="29" t="s">
        <v>48</v>
      </c>
    </row>
    <row r="129" spans="1:27" ht="18.75" customHeight="1" x14ac:dyDescent="0.2">
      <c r="A129" s="20" t="s">
        <v>214</v>
      </c>
      <c r="B129" s="20" t="s">
        <v>41</v>
      </c>
      <c r="C129" s="21">
        <v>2017</v>
      </c>
      <c r="D129" s="22" t="s">
        <v>225</v>
      </c>
      <c r="E129" s="23" t="s">
        <v>226</v>
      </c>
      <c r="F129" s="20">
        <v>5</v>
      </c>
      <c r="G129" s="20">
        <v>9</v>
      </c>
      <c r="H129" s="20"/>
      <c r="I129" s="34">
        <v>94</v>
      </c>
      <c r="J129" s="45">
        <v>19.399999999999999</v>
      </c>
      <c r="K129" s="20">
        <v>12</v>
      </c>
      <c r="L129" s="30" t="s">
        <v>44</v>
      </c>
      <c r="M129" s="30"/>
      <c r="N129" s="34">
        <v>96</v>
      </c>
      <c r="O129" s="45">
        <v>11.8</v>
      </c>
      <c r="P129" s="20">
        <v>12</v>
      </c>
      <c r="Q129" s="20"/>
      <c r="R129" s="27">
        <f t="shared" si="24"/>
        <v>0.1245628508079212</v>
      </c>
      <c r="S129" s="20">
        <v>-1</v>
      </c>
      <c r="T129" s="23">
        <f t="shared" si="25"/>
        <v>-0.1245628508079212</v>
      </c>
      <c r="U129" s="23">
        <f t="shared" si="26"/>
        <v>-0.12026758009040668</v>
      </c>
      <c r="V129" s="23">
        <f t="shared" si="27"/>
        <v>-0.1636469900642899</v>
      </c>
      <c r="W129" s="28"/>
      <c r="X129" s="31" t="s">
        <v>45</v>
      </c>
      <c r="Y129" s="32" t="s">
        <v>46</v>
      </c>
      <c r="Z129" s="8" t="s">
        <v>32</v>
      </c>
      <c r="AA129" s="32" t="s">
        <v>48</v>
      </c>
    </row>
    <row r="130" spans="1:27" ht="18.75" customHeight="1" x14ac:dyDescent="0.2">
      <c r="A130" s="20" t="s">
        <v>214</v>
      </c>
      <c r="B130" s="20" t="s">
        <v>60</v>
      </c>
      <c r="C130" s="21">
        <v>2017</v>
      </c>
      <c r="D130" s="22" t="s">
        <v>227</v>
      </c>
      <c r="E130" s="23" t="s">
        <v>227</v>
      </c>
      <c r="F130" s="20">
        <v>6</v>
      </c>
      <c r="G130" s="20">
        <v>10</v>
      </c>
      <c r="H130" s="20"/>
      <c r="I130" s="34">
        <v>5.3</v>
      </c>
      <c r="J130" s="45">
        <v>0.9</v>
      </c>
      <c r="K130" s="20">
        <v>37</v>
      </c>
      <c r="L130" s="26">
        <v>720</v>
      </c>
      <c r="M130" s="26"/>
      <c r="N130" s="34">
        <v>5.7</v>
      </c>
      <c r="O130" s="45">
        <v>0.9</v>
      </c>
      <c r="P130" s="20">
        <v>30</v>
      </c>
      <c r="Q130" s="20"/>
      <c r="R130" s="27">
        <f t="shared" si="24"/>
        <v>0.44444444444444481</v>
      </c>
      <c r="S130" s="20">
        <v>-1</v>
      </c>
      <c r="T130" s="23">
        <f t="shared" si="25"/>
        <v>-0.44444444444444481</v>
      </c>
      <c r="U130" s="23">
        <f t="shared" si="26"/>
        <v>-0.43929643929643969</v>
      </c>
      <c r="V130" s="23">
        <f t="shared" si="27"/>
        <v>-0.43929643929643969</v>
      </c>
      <c r="W130" s="28"/>
      <c r="X130" s="20">
        <v>1</v>
      </c>
      <c r="Y130" s="29" t="s">
        <v>63</v>
      </c>
      <c r="Z130" s="8" t="s">
        <v>32</v>
      </c>
      <c r="AA130" s="29" t="s">
        <v>48</v>
      </c>
    </row>
    <row r="131" spans="1:27" ht="18.75" customHeight="1" x14ac:dyDescent="0.2">
      <c r="A131" s="20" t="s">
        <v>214</v>
      </c>
      <c r="B131" s="21" t="s">
        <v>77</v>
      </c>
      <c r="C131" s="21">
        <v>2020</v>
      </c>
      <c r="D131" s="22" t="s">
        <v>227</v>
      </c>
      <c r="E131" s="23" t="s">
        <v>227</v>
      </c>
      <c r="F131" s="21">
        <v>7</v>
      </c>
      <c r="G131" s="20">
        <v>11</v>
      </c>
      <c r="H131" s="20"/>
      <c r="I131" s="24">
        <v>5.9</v>
      </c>
      <c r="J131" s="25">
        <v>1</v>
      </c>
      <c r="K131" s="21">
        <v>19</v>
      </c>
      <c r="L131" s="26">
        <v>1042</v>
      </c>
      <c r="M131" s="26"/>
      <c r="N131" s="24">
        <v>5</v>
      </c>
      <c r="O131" s="25">
        <v>1.1000000000000001</v>
      </c>
      <c r="P131" s="21">
        <v>19</v>
      </c>
      <c r="Q131" s="21"/>
      <c r="R131" s="27">
        <f t="shared" si="24"/>
        <v>-0.85617268947808967</v>
      </c>
      <c r="S131" s="20">
        <v>-1</v>
      </c>
      <c r="T131" s="23">
        <f t="shared" si="25"/>
        <v>0.85617268947808967</v>
      </c>
      <c r="U131" s="23">
        <f t="shared" si="26"/>
        <v>0.8382110246638641</v>
      </c>
      <c r="V131" s="23">
        <f t="shared" si="27"/>
        <v>0.80101716465352857</v>
      </c>
      <c r="W131" s="28"/>
      <c r="X131" s="20"/>
      <c r="AA131" s="29"/>
    </row>
    <row r="132" spans="1:27" ht="18.75" customHeight="1" x14ac:dyDescent="0.2">
      <c r="A132" s="20" t="s">
        <v>214</v>
      </c>
      <c r="B132" s="149" t="s">
        <v>590</v>
      </c>
      <c r="C132" s="21">
        <v>2014</v>
      </c>
      <c r="D132" s="22" t="s">
        <v>604</v>
      </c>
      <c r="E132" s="96" t="s">
        <v>592</v>
      </c>
      <c r="F132" s="21">
        <v>10</v>
      </c>
      <c r="G132" s="20">
        <v>16</v>
      </c>
      <c r="H132" s="20"/>
      <c r="I132" s="36">
        <v>89.2</v>
      </c>
      <c r="J132" s="25">
        <v>17.899999999999999</v>
      </c>
      <c r="K132" s="21">
        <v>9</v>
      </c>
      <c r="L132" s="26">
        <v>697.9</v>
      </c>
      <c r="M132" s="26"/>
      <c r="N132" s="36">
        <v>100</v>
      </c>
      <c r="O132" s="25">
        <v>15</v>
      </c>
      <c r="P132" s="48">
        <v>100</v>
      </c>
      <c r="Q132" s="21"/>
      <c r="R132" s="27">
        <f t="shared" si="24"/>
        <v>0.65399918199690499</v>
      </c>
      <c r="S132" s="20">
        <v>-1</v>
      </c>
      <c r="T132" s="23">
        <f t="shared" si="25"/>
        <v>-0.7088508836052726</v>
      </c>
      <c r="U132" s="150">
        <f t="shared" si="26"/>
        <v>-0.70387066662443931</v>
      </c>
      <c r="V132" s="150">
        <f t="shared" si="27"/>
        <v>-0.71494145199063219</v>
      </c>
      <c r="W132" s="28"/>
      <c r="X132" s="48"/>
      <c r="Y132" s="42"/>
      <c r="AA132" s="42"/>
    </row>
    <row r="133" spans="1:27" ht="18.75" customHeight="1" x14ac:dyDescent="0.2">
      <c r="A133" s="20"/>
      <c r="B133" s="20"/>
      <c r="C133" s="21"/>
      <c r="D133" s="22"/>
      <c r="E133" s="23"/>
      <c r="F133" s="20"/>
      <c r="G133" s="20"/>
      <c r="H133" s="20"/>
      <c r="I133" s="34"/>
      <c r="J133" s="160">
        <f>AVERAGE(J123:J131)</f>
        <v>55.273333333333333</v>
      </c>
      <c r="K133" s="37">
        <f>SUM(K127:K132,K123:K125)</f>
        <v>233</v>
      </c>
      <c r="L133" s="54">
        <f>AVERAGE(L127:L132,L123:L125)</f>
        <v>842.42499999999995</v>
      </c>
      <c r="M133" s="54"/>
      <c r="N133" s="46"/>
      <c r="O133" s="160">
        <f>AVERAGE(O123:O131)</f>
        <v>38.503333333333337</v>
      </c>
      <c r="P133" s="37">
        <f>SUM(P127:P132,P123:P125)</f>
        <v>339</v>
      </c>
      <c r="Q133" s="20"/>
      <c r="R133" s="27"/>
      <c r="S133" s="20"/>
      <c r="T133" s="41">
        <f>AVERAGE(T123:T132)</f>
        <v>-0.56524874576022155</v>
      </c>
      <c r="U133" s="41">
        <f>AVERAGE(U123:U132)</f>
        <v>-0.55533483877193335</v>
      </c>
      <c r="V133" s="41">
        <f>AVERAGE(V123:V132)</f>
        <v>-0.63923171931684242</v>
      </c>
      <c r="W133" s="28"/>
      <c r="X133" s="20"/>
      <c r="AA133" s="29"/>
    </row>
    <row r="134" spans="1:27" ht="18.75" customHeight="1" x14ac:dyDescent="0.2">
      <c r="A134" s="20"/>
      <c r="B134" s="20"/>
      <c r="C134" s="21"/>
      <c r="D134" s="22"/>
      <c r="E134" s="23"/>
      <c r="F134" s="20"/>
      <c r="G134" s="20"/>
      <c r="H134" s="20"/>
      <c r="I134" s="34"/>
      <c r="J134" s="45"/>
      <c r="K134" s="20"/>
      <c r="L134" s="26"/>
      <c r="M134" s="26"/>
      <c r="N134" s="34"/>
      <c r="O134" s="45"/>
      <c r="P134" s="20"/>
      <c r="Q134" s="20"/>
      <c r="R134" s="27"/>
      <c r="S134" s="20"/>
      <c r="T134" s="44">
        <f>STDEV(T123:T131)</f>
        <v>0.74299342784776656</v>
      </c>
      <c r="U134" s="44">
        <f>STDEV(U123:U131)</f>
        <v>0.72564200402359635</v>
      </c>
      <c r="V134" s="44">
        <f>STDEV(V123:V131)</f>
        <v>0.79368528053753751</v>
      </c>
      <c r="W134" s="28"/>
      <c r="X134" s="20"/>
      <c r="AA134" s="29"/>
    </row>
    <row r="135" spans="1:27" ht="18.75" customHeight="1" x14ac:dyDescent="0.2">
      <c r="A135" s="20" t="s">
        <v>228</v>
      </c>
      <c r="B135" s="98" t="s">
        <v>546</v>
      </c>
      <c r="C135" s="21">
        <v>2021</v>
      </c>
      <c r="D135" s="28" t="s">
        <v>551</v>
      </c>
      <c r="E135" s="132" t="s">
        <v>551</v>
      </c>
      <c r="F135" s="21">
        <v>1</v>
      </c>
      <c r="G135" s="20">
        <v>1</v>
      </c>
      <c r="H135" s="20"/>
      <c r="I135" s="109" t="s">
        <v>75</v>
      </c>
      <c r="J135" s="109" t="s">
        <v>75</v>
      </c>
      <c r="K135" s="21">
        <v>152</v>
      </c>
      <c r="L135" s="89">
        <v>908</v>
      </c>
      <c r="M135" s="26"/>
      <c r="N135" s="109" t="s">
        <v>75</v>
      </c>
      <c r="O135" s="109" t="s">
        <v>75</v>
      </c>
      <c r="P135" s="21">
        <v>76</v>
      </c>
      <c r="Q135" s="21"/>
      <c r="R135" s="109" t="s">
        <v>75</v>
      </c>
      <c r="S135" s="109" t="s">
        <v>75</v>
      </c>
      <c r="T135" s="109" t="s">
        <v>75</v>
      </c>
      <c r="U135" s="109" t="s">
        <v>75</v>
      </c>
      <c r="V135" s="23">
        <v>-0.02</v>
      </c>
      <c r="W135" s="28"/>
      <c r="X135" s="20">
        <v>1</v>
      </c>
      <c r="Z135" s="42" t="s">
        <v>44</v>
      </c>
    </row>
    <row r="136" spans="1:27" ht="18.75" customHeight="1" x14ac:dyDescent="0.2">
      <c r="A136" s="20" t="s">
        <v>228</v>
      </c>
      <c r="B136" s="20" t="s">
        <v>28</v>
      </c>
      <c r="C136" s="21">
        <v>2004</v>
      </c>
      <c r="D136" s="22" t="s">
        <v>229</v>
      </c>
      <c r="E136" s="23" t="s">
        <v>230</v>
      </c>
      <c r="F136" s="20">
        <v>2</v>
      </c>
      <c r="G136" s="20">
        <v>1</v>
      </c>
      <c r="H136" s="20"/>
      <c r="I136" s="34">
        <v>75.760000000000005</v>
      </c>
      <c r="J136" s="45">
        <v>19.5</v>
      </c>
      <c r="K136" s="20">
        <v>20</v>
      </c>
      <c r="L136" s="26">
        <v>858.5</v>
      </c>
      <c r="M136" s="26"/>
      <c r="N136" s="34">
        <v>80.67</v>
      </c>
      <c r="O136" s="45">
        <v>19.21</v>
      </c>
      <c r="P136" s="20">
        <v>20</v>
      </c>
      <c r="Q136" s="20"/>
      <c r="R136" s="27">
        <f t="shared" ref="R136:R145" si="28">(N136-I136)/SQRT((O136^2+J136^2)/2)</f>
        <v>0.25367410080343311</v>
      </c>
      <c r="S136" s="20">
        <v>-1</v>
      </c>
      <c r="T136" s="23">
        <f t="shared" ref="T136:T149" si="29">(N136-I136)/SQRT((((P136-1)*O136^2) + ((K136-1)*J136^2))/(P136+K136-2))*S136</f>
        <v>-0.25367410080343311</v>
      </c>
      <c r="U136" s="23">
        <f t="shared" ref="U136:U149" si="30">T136*(1-(3/(4*(K136+P136-2) -1)))</f>
        <v>-0.2486342180060139</v>
      </c>
      <c r="V136" s="23">
        <f t="shared" ref="V136:V150" si="31">((N136-I136)/O136)*S136 * (1-(3/(4*(K136+P136-2)-1)))</f>
        <v>-0.25051797663330683</v>
      </c>
      <c r="W136" s="28"/>
      <c r="X136" s="20">
        <v>2</v>
      </c>
      <c r="Y136" s="29" t="s">
        <v>31</v>
      </c>
      <c r="Z136" s="8" t="s">
        <v>32</v>
      </c>
      <c r="AA136" s="29" t="s">
        <v>31</v>
      </c>
    </row>
    <row r="137" spans="1:27" ht="18.75" customHeight="1" x14ac:dyDescent="0.2">
      <c r="A137" s="20" t="s">
        <v>228</v>
      </c>
      <c r="B137" s="20" t="s">
        <v>28</v>
      </c>
      <c r="C137" s="21">
        <v>2004</v>
      </c>
      <c r="D137" s="22" t="s">
        <v>229</v>
      </c>
      <c r="E137" s="23" t="s">
        <v>231</v>
      </c>
      <c r="F137" s="20">
        <v>2</v>
      </c>
      <c r="G137" s="20">
        <v>2</v>
      </c>
      <c r="H137" s="20"/>
      <c r="I137" s="34">
        <v>69</v>
      </c>
      <c r="J137" s="45">
        <v>14.63</v>
      </c>
      <c r="K137" s="20">
        <v>20</v>
      </c>
      <c r="L137" s="26">
        <v>858.5</v>
      </c>
      <c r="M137" s="26"/>
      <c r="N137" s="34">
        <v>66.5</v>
      </c>
      <c r="O137" s="45">
        <v>13.4</v>
      </c>
      <c r="P137" s="20">
        <v>20</v>
      </c>
      <c r="Q137" s="20"/>
      <c r="R137" s="27">
        <f t="shared" si="28"/>
        <v>-0.17820881069919003</v>
      </c>
      <c r="S137" s="20">
        <v>-1</v>
      </c>
      <c r="T137" s="23">
        <f t="shared" si="29"/>
        <v>0.17820881069919003</v>
      </c>
      <c r="U137" s="23">
        <f t="shared" si="30"/>
        <v>0.17466823830119288</v>
      </c>
      <c r="V137" s="23">
        <f t="shared" si="31"/>
        <v>0.18286053177819511</v>
      </c>
      <c r="W137" s="28"/>
      <c r="X137" s="20">
        <v>2</v>
      </c>
      <c r="Y137" s="29" t="s">
        <v>31</v>
      </c>
      <c r="Z137" s="8" t="s">
        <v>32</v>
      </c>
      <c r="AA137" s="29" t="s">
        <v>31</v>
      </c>
    </row>
    <row r="138" spans="1:27" ht="18.75" customHeight="1" x14ac:dyDescent="0.2">
      <c r="A138" s="20" t="s">
        <v>228</v>
      </c>
      <c r="B138" s="20" t="s">
        <v>41</v>
      </c>
      <c r="C138" s="21">
        <v>2007</v>
      </c>
      <c r="D138" s="22" t="s">
        <v>232</v>
      </c>
      <c r="E138" s="23" t="s">
        <v>233</v>
      </c>
      <c r="F138" s="20">
        <v>3</v>
      </c>
      <c r="G138" s="20">
        <v>3</v>
      </c>
      <c r="H138" s="20"/>
      <c r="I138" s="34">
        <v>108</v>
      </c>
      <c r="J138" s="45">
        <v>14.2</v>
      </c>
      <c r="K138" s="20">
        <v>12</v>
      </c>
      <c r="L138" s="30" t="s">
        <v>44</v>
      </c>
      <c r="M138" s="30"/>
      <c r="N138" s="34">
        <v>109</v>
      </c>
      <c r="O138" s="45">
        <v>2.7</v>
      </c>
      <c r="P138" s="20">
        <v>12</v>
      </c>
      <c r="Q138" s="20"/>
      <c r="R138" s="27">
        <f t="shared" si="28"/>
        <v>9.7839583600314597E-2</v>
      </c>
      <c r="S138" s="20">
        <v>-1</v>
      </c>
      <c r="T138" s="23">
        <f t="shared" si="29"/>
        <v>-9.783958360031457E-2</v>
      </c>
      <c r="U138" s="23">
        <f t="shared" si="30"/>
        <v>-9.4465804855476135E-2</v>
      </c>
      <c r="V138" s="23">
        <f t="shared" si="31"/>
        <v>-0.35759897828863346</v>
      </c>
      <c r="W138" s="28"/>
      <c r="X138" s="31" t="s">
        <v>45</v>
      </c>
      <c r="Y138" s="32" t="s">
        <v>46</v>
      </c>
      <c r="Z138" s="32" t="s">
        <v>234</v>
      </c>
      <c r="AA138" s="29" t="s">
        <v>48</v>
      </c>
    </row>
    <row r="139" spans="1:27" ht="18.75" customHeight="1" x14ac:dyDescent="0.2">
      <c r="A139" s="20" t="s">
        <v>228</v>
      </c>
      <c r="B139" s="20" t="s">
        <v>41</v>
      </c>
      <c r="C139" s="21">
        <v>2007</v>
      </c>
      <c r="D139" s="22" t="s">
        <v>235</v>
      </c>
      <c r="E139" s="23" t="s">
        <v>236</v>
      </c>
      <c r="F139" s="20">
        <v>3</v>
      </c>
      <c r="G139" s="20">
        <v>4</v>
      </c>
      <c r="H139" s="20"/>
      <c r="I139" s="34">
        <v>99</v>
      </c>
      <c r="J139" s="45">
        <v>11.8</v>
      </c>
      <c r="K139" s="20">
        <v>12</v>
      </c>
      <c r="L139" s="30" t="s">
        <v>44</v>
      </c>
      <c r="M139" s="30"/>
      <c r="N139" s="34">
        <v>100</v>
      </c>
      <c r="O139" s="45">
        <v>11.4</v>
      </c>
      <c r="P139" s="20">
        <v>12</v>
      </c>
      <c r="Q139" s="20"/>
      <c r="R139" s="27">
        <f t="shared" si="28"/>
        <v>8.6194086254223923E-2</v>
      </c>
      <c r="S139" s="20">
        <v>-1</v>
      </c>
      <c r="T139" s="23">
        <f t="shared" si="29"/>
        <v>-8.6194086254223923E-2</v>
      </c>
      <c r="U139" s="23">
        <f t="shared" si="30"/>
        <v>-8.3221876383388613E-2</v>
      </c>
      <c r="V139" s="23">
        <f t="shared" si="31"/>
        <v>-8.4694494857834243E-2</v>
      </c>
      <c r="W139" s="28"/>
      <c r="X139" s="31" t="s">
        <v>45</v>
      </c>
      <c r="Y139" s="32" t="s">
        <v>46</v>
      </c>
      <c r="Z139" s="32" t="s">
        <v>234</v>
      </c>
      <c r="AA139" s="29" t="s">
        <v>48</v>
      </c>
    </row>
    <row r="140" spans="1:27" ht="18.75" customHeight="1" x14ac:dyDescent="0.2">
      <c r="A140" s="20" t="s">
        <v>228</v>
      </c>
      <c r="B140" s="20" t="s">
        <v>60</v>
      </c>
      <c r="C140" s="21">
        <v>2017</v>
      </c>
      <c r="D140" s="22" t="s">
        <v>237</v>
      </c>
      <c r="E140" s="23" t="s">
        <v>238</v>
      </c>
      <c r="F140" s="20">
        <v>4</v>
      </c>
      <c r="G140" s="20">
        <v>5</v>
      </c>
      <c r="H140" s="20"/>
      <c r="I140" s="34">
        <v>24.1</v>
      </c>
      <c r="J140" s="45">
        <v>11.2</v>
      </c>
      <c r="K140" s="20">
        <v>37</v>
      </c>
      <c r="L140" s="26">
        <v>720</v>
      </c>
      <c r="M140" s="26"/>
      <c r="N140" s="34">
        <v>20.5</v>
      </c>
      <c r="O140" s="45">
        <v>8.4</v>
      </c>
      <c r="P140" s="20">
        <v>30</v>
      </c>
      <c r="Q140" s="20"/>
      <c r="R140" s="27">
        <f t="shared" si="28"/>
        <v>-0.36365491603879602</v>
      </c>
      <c r="S140" s="20">
        <v>1</v>
      </c>
      <c r="T140" s="23">
        <f t="shared" si="29"/>
        <v>-0.35829307866221516</v>
      </c>
      <c r="U140" s="23">
        <f t="shared" si="30"/>
        <v>-0.35414296578195786</v>
      </c>
      <c r="V140" s="23">
        <f t="shared" si="31"/>
        <v>-0.42360728075013804</v>
      </c>
      <c r="W140" s="28"/>
      <c r="X140" s="20">
        <v>1</v>
      </c>
      <c r="Y140" s="29" t="s">
        <v>63</v>
      </c>
      <c r="Z140" s="8" t="s">
        <v>32</v>
      </c>
      <c r="AA140" s="29" t="s">
        <v>48</v>
      </c>
    </row>
    <row r="141" spans="1:27" ht="18.75" customHeight="1" x14ac:dyDescent="0.2">
      <c r="A141" s="20" t="s">
        <v>228</v>
      </c>
      <c r="B141" s="20" t="s">
        <v>60</v>
      </c>
      <c r="C141" s="21">
        <v>2017</v>
      </c>
      <c r="D141" s="22" t="s">
        <v>239</v>
      </c>
      <c r="E141" s="23" t="s">
        <v>240</v>
      </c>
      <c r="F141" s="20">
        <v>4</v>
      </c>
      <c r="G141" s="20">
        <v>6</v>
      </c>
      <c r="H141" s="20"/>
      <c r="I141" s="34">
        <v>16.3</v>
      </c>
      <c r="J141" s="45">
        <v>15.9</v>
      </c>
      <c r="K141" s="20">
        <v>37</v>
      </c>
      <c r="L141" s="26">
        <v>720</v>
      </c>
      <c r="M141" s="26"/>
      <c r="N141" s="34">
        <v>15.1</v>
      </c>
      <c r="O141" s="45">
        <v>15.1</v>
      </c>
      <c r="P141" s="20">
        <v>30</v>
      </c>
      <c r="Q141" s="20"/>
      <c r="R141" s="27">
        <f t="shared" si="28"/>
        <v>-7.7393588110088715E-2</v>
      </c>
      <c r="S141" s="20">
        <v>1</v>
      </c>
      <c r="T141" s="23">
        <f t="shared" si="29"/>
        <v>-7.7179533708483197E-2</v>
      </c>
      <c r="U141" s="23">
        <f t="shared" si="30"/>
        <v>-7.6285562275566404E-2</v>
      </c>
      <c r="V141" s="23">
        <f t="shared" si="31"/>
        <v>-7.8549694443734247E-2</v>
      </c>
      <c r="W141" s="28"/>
      <c r="X141" s="20">
        <v>1</v>
      </c>
      <c r="Y141" s="29" t="s">
        <v>63</v>
      </c>
      <c r="Z141" s="8" t="s">
        <v>32</v>
      </c>
      <c r="AA141" s="29" t="s">
        <v>48</v>
      </c>
    </row>
    <row r="142" spans="1:27" ht="18.75" customHeight="1" x14ac:dyDescent="0.2">
      <c r="A142" s="20" t="s">
        <v>228</v>
      </c>
      <c r="B142" s="20" t="s">
        <v>60</v>
      </c>
      <c r="C142" s="21">
        <v>2017</v>
      </c>
      <c r="D142" s="22" t="s">
        <v>241</v>
      </c>
      <c r="E142" s="23" t="s">
        <v>242</v>
      </c>
      <c r="F142" s="20">
        <v>4</v>
      </c>
      <c r="G142" s="20">
        <v>7</v>
      </c>
      <c r="H142" s="20"/>
      <c r="I142" s="34">
        <v>43.5</v>
      </c>
      <c r="J142" s="45">
        <v>22.9</v>
      </c>
      <c r="K142" s="20">
        <v>37</v>
      </c>
      <c r="L142" s="26">
        <v>720</v>
      </c>
      <c r="M142" s="26"/>
      <c r="N142" s="34">
        <v>47</v>
      </c>
      <c r="O142" s="45">
        <v>14.9</v>
      </c>
      <c r="P142" s="20">
        <v>30</v>
      </c>
      <c r="Q142" s="20"/>
      <c r="R142" s="27">
        <f t="shared" si="28"/>
        <v>0.1811721375541869</v>
      </c>
      <c r="S142" s="20">
        <v>1</v>
      </c>
      <c r="T142" s="23">
        <f t="shared" si="29"/>
        <v>0.17734468327121153</v>
      </c>
      <c r="U142" s="23">
        <f t="shared" si="30"/>
        <v>0.17529049775069558</v>
      </c>
      <c r="V142" s="23">
        <f t="shared" si="31"/>
        <v>0.23217848721204426</v>
      </c>
      <c r="W142" s="28"/>
      <c r="X142" s="20">
        <v>1</v>
      </c>
      <c r="Y142" s="29" t="s">
        <v>63</v>
      </c>
      <c r="Z142" s="8" t="s">
        <v>32</v>
      </c>
      <c r="AA142" s="29" t="s">
        <v>48</v>
      </c>
    </row>
    <row r="143" spans="1:27" ht="18.75" customHeight="1" x14ac:dyDescent="0.2">
      <c r="A143" s="20" t="s">
        <v>228</v>
      </c>
      <c r="B143" s="20" t="s">
        <v>60</v>
      </c>
      <c r="C143" s="21">
        <v>2017</v>
      </c>
      <c r="D143" s="22" t="s">
        <v>243</v>
      </c>
      <c r="E143" s="23" t="s">
        <v>244</v>
      </c>
      <c r="F143" s="20">
        <v>4</v>
      </c>
      <c r="G143" s="20">
        <v>8</v>
      </c>
      <c r="H143" s="20"/>
      <c r="I143" s="34">
        <v>20.399999999999999</v>
      </c>
      <c r="J143" s="45">
        <v>23.7</v>
      </c>
      <c r="K143" s="20">
        <v>37</v>
      </c>
      <c r="L143" s="26">
        <v>720</v>
      </c>
      <c r="M143" s="26"/>
      <c r="N143" s="34">
        <v>29.3</v>
      </c>
      <c r="O143" s="45">
        <v>24.5</v>
      </c>
      <c r="P143" s="20">
        <v>30</v>
      </c>
      <c r="Q143" s="20"/>
      <c r="R143" s="27">
        <f t="shared" si="28"/>
        <v>0.36924375016627187</v>
      </c>
      <c r="S143" s="20">
        <v>1</v>
      </c>
      <c r="T143" s="23">
        <f t="shared" si="29"/>
        <v>0.36990533746144177</v>
      </c>
      <c r="U143" s="23">
        <f t="shared" si="30"/>
        <v>0.36562071965300807</v>
      </c>
      <c r="V143" s="23">
        <f t="shared" si="31"/>
        <v>0.35905759987392649</v>
      </c>
      <c r="W143" s="28"/>
      <c r="X143" s="20">
        <v>1</v>
      </c>
      <c r="Y143" s="29" t="s">
        <v>63</v>
      </c>
      <c r="Z143" s="8" t="s">
        <v>32</v>
      </c>
      <c r="AA143" s="29" t="s">
        <v>48</v>
      </c>
    </row>
    <row r="144" spans="1:27" ht="18.75" customHeight="1" x14ac:dyDescent="0.2">
      <c r="A144" s="20" t="s">
        <v>228</v>
      </c>
      <c r="B144" s="21" t="s">
        <v>77</v>
      </c>
      <c r="C144" s="21">
        <v>2020</v>
      </c>
      <c r="D144" s="22" t="s">
        <v>241</v>
      </c>
      <c r="E144" s="23" t="s">
        <v>245</v>
      </c>
      <c r="F144" s="21">
        <v>5</v>
      </c>
      <c r="G144" s="20">
        <v>9</v>
      </c>
      <c r="H144" s="20"/>
      <c r="I144" s="24">
        <v>20.8</v>
      </c>
      <c r="J144" s="25">
        <v>8.8000000000000007</v>
      </c>
      <c r="K144" s="21">
        <v>19</v>
      </c>
      <c r="L144" s="26">
        <v>1042</v>
      </c>
      <c r="M144" s="26"/>
      <c r="N144" s="24">
        <v>19.7</v>
      </c>
      <c r="O144" s="25">
        <v>6.1</v>
      </c>
      <c r="P144" s="21">
        <v>19</v>
      </c>
      <c r="Q144" s="21"/>
      <c r="R144" s="27">
        <f t="shared" si="28"/>
        <v>-0.14528495842730813</v>
      </c>
      <c r="S144" s="20">
        <v>1</v>
      </c>
      <c r="T144" s="23">
        <f t="shared" si="29"/>
        <v>-0.14528495842730813</v>
      </c>
      <c r="U144" s="23">
        <f t="shared" si="30"/>
        <v>-0.14223702223652546</v>
      </c>
      <c r="V144" s="23">
        <f t="shared" si="31"/>
        <v>-0.17654476670870139</v>
      </c>
      <c r="W144" s="28"/>
      <c r="X144" s="20">
        <v>1</v>
      </c>
      <c r="Y144" s="29" t="s">
        <v>63</v>
      </c>
      <c r="Z144" s="42" t="s">
        <v>44</v>
      </c>
      <c r="AA144" s="29" t="s">
        <v>48</v>
      </c>
    </row>
    <row r="145" spans="1:27" ht="18.75" customHeight="1" x14ac:dyDescent="0.2">
      <c r="A145" s="20" t="s">
        <v>228</v>
      </c>
      <c r="B145" s="21" t="s">
        <v>77</v>
      </c>
      <c r="C145" s="21">
        <v>2020</v>
      </c>
      <c r="D145" s="22" t="s">
        <v>243</v>
      </c>
      <c r="E145" s="23" t="s">
        <v>244</v>
      </c>
      <c r="F145" s="21">
        <v>5</v>
      </c>
      <c r="G145" s="20">
        <v>10</v>
      </c>
      <c r="H145" s="20"/>
      <c r="I145" s="24">
        <v>10.199999999999999</v>
      </c>
      <c r="J145" s="25">
        <v>11</v>
      </c>
      <c r="K145" s="21">
        <v>19</v>
      </c>
      <c r="L145" s="26">
        <v>1042</v>
      </c>
      <c r="M145" s="26"/>
      <c r="N145" s="24">
        <v>4.9000000000000004</v>
      </c>
      <c r="O145" s="25">
        <v>7</v>
      </c>
      <c r="P145" s="21">
        <v>19</v>
      </c>
      <c r="Q145" s="21"/>
      <c r="R145" s="27">
        <f t="shared" si="28"/>
        <v>-0.5748657132194388</v>
      </c>
      <c r="S145" s="20">
        <v>1</v>
      </c>
      <c r="T145" s="23">
        <f t="shared" si="29"/>
        <v>-0.5748657132194388</v>
      </c>
      <c r="U145" s="23">
        <f t="shared" si="30"/>
        <v>-0.56280559336168834</v>
      </c>
      <c r="V145" s="23">
        <f t="shared" si="31"/>
        <v>-0.74125874125874114</v>
      </c>
      <c r="W145" s="28"/>
      <c r="X145" s="20">
        <v>1</v>
      </c>
      <c r="Y145" s="29" t="s">
        <v>63</v>
      </c>
      <c r="Z145" s="42" t="s">
        <v>44</v>
      </c>
      <c r="AA145" s="29" t="s">
        <v>48</v>
      </c>
    </row>
    <row r="146" spans="1:27" ht="18.75" customHeight="1" x14ac:dyDescent="0.2">
      <c r="A146" s="20" t="s">
        <v>228</v>
      </c>
      <c r="B146" s="20" t="s">
        <v>73</v>
      </c>
      <c r="C146" s="21">
        <v>1996</v>
      </c>
      <c r="D146" s="22" t="s">
        <v>246</v>
      </c>
      <c r="E146" s="20" t="s">
        <v>247</v>
      </c>
      <c r="F146" s="20">
        <v>6</v>
      </c>
      <c r="G146" s="20">
        <v>11</v>
      </c>
      <c r="H146" s="20"/>
      <c r="I146" s="34">
        <v>12.35</v>
      </c>
      <c r="J146" s="25">
        <v>3.52</v>
      </c>
      <c r="K146" s="21">
        <v>11</v>
      </c>
      <c r="L146" s="35">
        <v>566</v>
      </c>
      <c r="M146" s="35"/>
      <c r="N146" s="24">
        <v>14.02</v>
      </c>
      <c r="O146" s="25">
        <v>3.59</v>
      </c>
      <c r="P146" s="21">
        <v>22</v>
      </c>
      <c r="Q146" s="20"/>
      <c r="R146" s="27">
        <f>(N147-I146)/SQRT((O146^2+J146^2)/2)</f>
        <v>0.46973813490351979</v>
      </c>
      <c r="S146" s="20">
        <v>-1</v>
      </c>
      <c r="T146" s="23">
        <f t="shared" si="29"/>
        <v>-0.46810581669268231</v>
      </c>
      <c r="U146" s="23">
        <f t="shared" si="30"/>
        <v>-0.45668860165139735</v>
      </c>
      <c r="V146" s="23">
        <f t="shared" si="31"/>
        <v>-0.45383517902031389</v>
      </c>
      <c r="W146" s="28"/>
      <c r="X146" s="31" t="s">
        <v>75</v>
      </c>
      <c r="Y146" s="32" t="s">
        <v>75</v>
      </c>
      <c r="Z146" s="42" t="s">
        <v>44</v>
      </c>
      <c r="AA146" s="32" t="s">
        <v>75</v>
      </c>
    </row>
    <row r="147" spans="1:27" ht="18.75" customHeight="1" x14ac:dyDescent="0.2">
      <c r="A147" s="20" t="s">
        <v>228</v>
      </c>
      <c r="B147" s="20" t="s">
        <v>76</v>
      </c>
      <c r="C147" s="21">
        <v>1996</v>
      </c>
      <c r="D147" s="22" t="s">
        <v>246</v>
      </c>
      <c r="E147" s="20" t="s">
        <v>247</v>
      </c>
      <c r="F147" s="20">
        <v>6</v>
      </c>
      <c r="G147" s="20">
        <v>11</v>
      </c>
      <c r="H147" s="20"/>
      <c r="I147" s="34">
        <v>10.3</v>
      </c>
      <c r="J147" s="25">
        <v>4.9000000000000004</v>
      </c>
      <c r="K147" s="21">
        <v>11</v>
      </c>
      <c r="L147" s="35">
        <v>1545</v>
      </c>
      <c r="M147" s="35"/>
      <c r="N147" s="24">
        <v>14.02</v>
      </c>
      <c r="O147" s="25">
        <v>3.59</v>
      </c>
      <c r="P147" s="21">
        <v>22</v>
      </c>
      <c r="Q147" s="20"/>
      <c r="R147" s="27">
        <f>(N148-I147)/SQRT((O147^2+J147^2)/2)</f>
        <v>0.54944597848233645</v>
      </c>
      <c r="S147" s="20">
        <v>-1</v>
      </c>
      <c r="T147" s="23">
        <f t="shared" si="29"/>
        <v>-0.91647275055592392</v>
      </c>
      <c r="U147" s="23">
        <f t="shared" si="30"/>
        <v>-0.89411975663992571</v>
      </c>
      <c r="V147" s="23">
        <f t="shared" si="31"/>
        <v>-1.0109382430871658</v>
      </c>
      <c r="W147" s="28"/>
      <c r="X147" s="31" t="s">
        <v>75</v>
      </c>
      <c r="Y147" s="32" t="s">
        <v>75</v>
      </c>
      <c r="Z147" s="42" t="s">
        <v>44</v>
      </c>
      <c r="AA147" s="32" t="s">
        <v>75</v>
      </c>
    </row>
    <row r="148" spans="1:27" ht="18.75" customHeight="1" x14ac:dyDescent="0.2">
      <c r="A148" s="20" t="s">
        <v>228</v>
      </c>
      <c r="B148" s="20" t="s">
        <v>73</v>
      </c>
      <c r="C148" s="21">
        <v>1996</v>
      </c>
      <c r="D148" s="22" t="s">
        <v>248</v>
      </c>
      <c r="E148" s="20" t="s">
        <v>247</v>
      </c>
      <c r="F148" s="20">
        <v>6</v>
      </c>
      <c r="G148" s="20">
        <v>11</v>
      </c>
      <c r="H148" s="20"/>
      <c r="I148" s="34">
        <v>10.75</v>
      </c>
      <c r="J148" s="25">
        <v>4.0599999999999996</v>
      </c>
      <c r="K148" s="21">
        <v>11</v>
      </c>
      <c r="L148" s="35">
        <v>566</v>
      </c>
      <c r="M148" s="35"/>
      <c r="N148" s="24">
        <v>12.66</v>
      </c>
      <c r="O148" s="25">
        <v>3.69</v>
      </c>
      <c r="P148" s="21">
        <v>22</v>
      </c>
      <c r="Q148" s="20"/>
      <c r="R148" s="27">
        <f>(N148-I148)/SQRT((O148^2+J148^2)/2)</f>
        <v>0.49234244896618845</v>
      </c>
      <c r="S148" s="20">
        <v>-1</v>
      </c>
      <c r="T148" s="23">
        <f t="shared" si="29"/>
        <v>-0.50088120626911026</v>
      </c>
      <c r="U148" s="23">
        <f t="shared" si="30"/>
        <v>-0.48866459148205876</v>
      </c>
      <c r="V148" s="23">
        <f t="shared" si="31"/>
        <v>-0.50499041575781611</v>
      </c>
      <c r="W148" s="28"/>
      <c r="X148" s="31" t="s">
        <v>75</v>
      </c>
      <c r="Y148" s="32" t="s">
        <v>75</v>
      </c>
      <c r="Z148" s="42" t="s">
        <v>44</v>
      </c>
      <c r="AA148" s="32" t="s">
        <v>75</v>
      </c>
    </row>
    <row r="149" spans="1:27" ht="18.75" customHeight="1" x14ac:dyDescent="0.2">
      <c r="A149" s="20" t="s">
        <v>228</v>
      </c>
      <c r="B149" s="20" t="s">
        <v>76</v>
      </c>
      <c r="C149" s="21">
        <v>1996</v>
      </c>
      <c r="D149" s="22" t="s">
        <v>248</v>
      </c>
      <c r="E149" s="20" t="s">
        <v>247</v>
      </c>
      <c r="F149" s="20">
        <v>6</v>
      </c>
      <c r="G149" s="20">
        <v>11</v>
      </c>
      <c r="H149" s="20"/>
      <c r="I149" s="24">
        <v>8.85</v>
      </c>
      <c r="J149" s="25">
        <v>4.01</v>
      </c>
      <c r="K149" s="21">
        <v>11</v>
      </c>
      <c r="L149" s="35">
        <v>1545</v>
      </c>
      <c r="M149" s="35"/>
      <c r="N149" s="24">
        <v>12.66</v>
      </c>
      <c r="O149" s="25">
        <v>3.69</v>
      </c>
      <c r="P149" s="21">
        <v>22</v>
      </c>
      <c r="Q149" s="20"/>
      <c r="R149" s="27">
        <f>(N149-I149)/SQRT((O149^2+J149^2)/2)</f>
        <v>0.98875691491790563</v>
      </c>
      <c r="S149" s="20">
        <v>-1</v>
      </c>
      <c r="T149" s="23">
        <f t="shared" si="29"/>
        <v>-1.0036420298583131</v>
      </c>
      <c r="U149" s="23">
        <f t="shared" si="30"/>
        <v>-0.97916295595932978</v>
      </c>
      <c r="V149" s="23">
        <f t="shared" si="31"/>
        <v>-1.0073369026373191</v>
      </c>
      <c r="W149" s="28"/>
      <c r="X149" s="31" t="s">
        <v>75</v>
      </c>
      <c r="Y149" s="32" t="s">
        <v>75</v>
      </c>
      <c r="Z149" s="42" t="s">
        <v>44</v>
      </c>
      <c r="AA149" s="32" t="s">
        <v>75</v>
      </c>
    </row>
    <row r="150" spans="1:27" ht="18.75" customHeight="1" x14ac:dyDescent="0.2">
      <c r="A150" s="20" t="s">
        <v>228</v>
      </c>
      <c r="B150" s="135" t="s">
        <v>509</v>
      </c>
      <c r="C150" s="137">
        <v>2021</v>
      </c>
      <c r="D150" s="138" t="s">
        <v>519</v>
      </c>
      <c r="E150" s="20"/>
      <c r="F150" s="20">
        <v>7</v>
      </c>
      <c r="G150" s="20">
        <v>12</v>
      </c>
      <c r="H150" s="20"/>
      <c r="I150" s="24">
        <v>13</v>
      </c>
      <c r="J150" s="25">
        <f>(18-11)/1.35</f>
        <v>5.1851851851851851</v>
      </c>
      <c r="K150" s="21">
        <v>19</v>
      </c>
      <c r="L150" s="35">
        <v>890</v>
      </c>
      <c r="M150" s="35"/>
      <c r="N150" s="24">
        <v>20</v>
      </c>
      <c r="O150" s="25">
        <f>(22-18)/1.35</f>
        <v>2.9629629629629628</v>
      </c>
      <c r="P150" s="21">
        <v>25</v>
      </c>
      <c r="Q150" s="20"/>
      <c r="R150" s="27">
        <f>(N150-I150)/SQRT((O150^2+J150^2)/2)</f>
        <v>1.6576396564902851</v>
      </c>
      <c r="S150" s="20">
        <v>-1</v>
      </c>
      <c r="T150" s="136">
        <f>(N150-I150)/SQRT((((P150-1)*O150^2) + ((K150-1)*J150^2))/(P150+K150-2))*S150</f>
        <v>-1.7212327501226519</v>
      </c>
      <c r="U150" s="136">
        <f>T150*(1-(3/(4*(K150+P150-2) -1)))</f>
        <v>-1.6903124013180533</v>
      </c>
      <c r="V150" s="136">
        <f t="shared" si="31"/>
        <v>-2.3200598802395214</v>
      </c>
      <c r="W150" s="28"/>
      <c r="X150" s="31"/>
      <c r="Y150" s="32"/>
      <c r="Z150" s="42"/>
      <c r="AA150" s="32"/>
    </row>
    <row r="151" spans="1:27" ht="18.75" customHeight="1" x14ac:dyDescent="0.2">
      <c r="A151" s="20"/>
      <c r="B151" s="20"/>
      <c r="C151" s="21"/>
      <c r="E151" s="23"/>
      <c r="F151" s="37">
        <v>7</v>
      </c>
      <c r="G151" s="37">
        <v>12</v>
      </c>
      <c r="H151" s="37"/>
      <c r="I151" s="46"/>
      <c r="J151" s="160">
        <f>AVERAGE(J136:J149)</f>
        <v>12.151428571428571</v>
      </c>
      <c r="K151" s="37">
        <f>SUM(K145,K143,K139,K137,K146,K148)</f>
        <v>110</v>
      </c>
      <c r="L151" s="54">
        <f>AVERAGE(L145,L143,L139,L137,L146,L148)</f>
        <v>750.5</v>
      </c>
      <c r="M151" s="54"/>
      <c r="N151" s="46"/>
      <c r="O151" s="160">
        <f>AVERAGE(O136:O149)</f>
        <v>9.8049999999999979</v>
      </c>
      <c r="P151" s="37">
        <f>SUM(P145,P143,P139,P137,P146)</f>
        <v>103</v>
      </c>
      <c r="Q151" s="37"/>
      <c r="R151" s="41"/>
      <c r="S151" s="37">
        <v>0</v>
      </c>
      <c r="T151" s="41">
        <f>AVERAGE(T136:T150)</f>
        <v>-0.36521378511615032</v>
      </c>
      <c r="U151" s="41">
        <f>AVERAGE(U136:U150)</f>
        <v>-0.35701079294976562</v>
      </c>
      <c r="V151" s="41">
        <f>AVERAGE(V135:V150)</f>
        <v>-0.4159897459261912</v>
      </c>
      <c r="W151" s="28"/>
      <c r="X151" s="20"/>
      <c r="AA151" s="29"/>
    </row>
    <row r="152" spans="1:27" ht="18.75" customHeight="1" x14ac:dyDescent="0.2">
      <c r="A152" s="20"/>
      <c r="B152" s="20"/>
      <c r="C152" s="21"/>
      <c r="E152" s="23"/>
      <c r="F152" s="20"/>
      <c r="G152" s="20"/>
      <c r="H152" s="20"/>
      <c r="I152" s="34"/>
      <c r="J152" s="45"/>
      <c r="K152" s="20"/>
      <c r="L152" s="26"/>
      <c r="M152" s="26"/>
      <c r="N152" s="34"/>
      <c r="O152" s="45"/>
      <c r="P152" s="20"/>
      <c r="Q152" s="20"/>
      <c r="R152" s="27"/>
      <c r="S152" s="20">
        <v>0</v>
      </c>
      <c r="T152" s="44">
        <f>STDEV(T136:T150)</f>
        <v>0.53761717395096897</v>
      </c>
      <c r="U152" s="44">
        <f>STDEV(U136:U150)</f>
        <v>0.52723499469970558</v>
      </c>
      <c r="V152" s="44">
        <f>STDEV(V136:V150)</f>
        <v>0.66144238782581877</v>
      </c>
      <c r="W152" s="28"/>
      <c r="X152" s="20"/>
      <c r="AA152" s="29"/>
    </row>
    <row r="153" spans="1:27" ht="18.75" customHeight="1" x14ac:dyDescent="0.2">
      <c r="A153" s="20" t="s">
        <v>249</v>
      </c>
      <c r="B153" s="20" t="s">
        <v>53</v>
      </c>
      <c r="C153" s="21">
        <v>2015</v>
      </c>
      <c r="D153" s="22" t="s">
        <v>250</v>
      </c>
      <c r="E153" s="23" t="s">
        <v>251</v>
      </c>
      <c r="F153" s="20">
        <v>1</v>
      </c>
      <c r="G153" s="20">
        <v>1</v>
      </c>
      <c r="H153" s="20"/>
      <c r="I153" s="34">
        <v>44.64</v>
      </c>
      <c r="J153" s="45">
        <v>37.18</v>
      </c>
      <c r="K153" s="20">
        <v>14</v>
      </c>
      <c r="L153" s="30" t="s">
        <v>44</v>
      </c>
      <c r="M153" s="30"/>
      <c r="N153" s="34">
        <v>57.14</v>
      </c>
      <c r="O153" s="45">
        <v>35.01</v>
      </c>
      <c r="P153" s="20">
        <v>14</v>
      </c>
      <c r="Q153" s="20"/>
      <c r="R153" s="27">
        <f t="shared" ref="R153:R162" si="32">(N153-I153)/SQRT((O153^2+J153^2)/2)</f>
        <v>0.3461520006975074</v>
      </c>
      <c r="S153" s="20">
        <v>-1</v>
      </c>
      <c r="T153" s="23">
        <f t="shared" ref="T153:T158" si="33">(N153-I153)/SQRT((((P153-1)*O153^2) + ((K153-1)*J153^2))/(P153+K153-2))*S153</f>
        <v>-0.3461520006975074</v>
      </c>
      <c r="U153" s="23">
        <f t="shared" ref="U153:U162" si="34">T153*(1-(3/(4*(K153+P153-2) -1)))</f>
        <v>-0.33606990358981303</v>
      </c>
      <c r="V153" s="23">
        <f t="shared" ref="V153:V162" si="35">((N153-I153)/O153)*S153 * (1-(3/(4*(K153+P153-2)-1)))</f>
        <v>-0.34664159754633211</v>
      </c>
      <c r="W153" s="28"/>
      <c r="X153" s="31" t="s">
        <v>56</v>
      </c>
      <c r="Y153" s="32" t="s">
        <v>57</v>
      </c>
      <c r="Z153" s="8" t="s">
        <v>32</v>
      </c>
      <c r="AA153" s="32" t="s">
        <v>57</v>
      </c>
    </row>
    <row r="154" spans="1:27" ht="18.75" customHeight="1" x14ac:dyDescent="0.2">
      <c r="A154" s="20" t="s">
        <v>249</v>
      </c>
      <c r="B154" s="20" t="s">
        <v>28</v>
      </c>
      <c r="C154" s="21">
        <v>2004</v>
      </c>
      <c r="D154" s="22" t="s">
        <v>252</v>
      </c>
      <c r="E154" s="23" t="s">
        <v>253</v>
      </c>
      <c r="F154" s="20">
        <v>2</v>
      </c>
      <c r="G154" s="20">
        <v>2</v>
      </c>
      <c r="H154" s="20"/>
      <c r="I154" s="34">
        <v>58.75</v>
      </c>
      <c r="J154" s="45">
        <v>4.3499999999999996</v>
      </c>
      <c r="K154" s="20">
        <v>20</v>
      </c>
      <c r="L154" s="26">
        <v>858.5</v>
      </c>
      <c r="M154" s="26"/>
      <c r="N154" s="34">
        <v>59.86</v>
      </c>
      <c r="O154" s="45">
        <v>5.0599999999999996</v>
      </c>
      <c r="P154" s="20">
        <v>20</v>
      </c>
      <c r="Q154" s="20"/>
      <c r="R154" s="27">
        <f t="shared" si="32"/>
        <v>0.23525055026796488</v>
      </c>
      <c r="S154" s="20">
        <v>-1</v>
      </c>
      <c r="T154" s="23">
        <f t="shared" si="33"/>
        <v>-0.23525055026796488</v>
      </c>
      <c r="U154" s="23">
        <f t="shared" si="34"/>
        <v>-0.23057669827588612</v>
      </c>
      <c r="V154" s="23">
        <f t="shared" si="35"/>
        <v>-0.21500929246394251</v>
      </c>
      <c r="W154" s="28"/>
      <c r="X154" s="20">
        <v>2</v>
      </c>
      <c r="Y154" s="29" t="s">
        <v>31</v>
      </c>
      <c r="Z154" s="8" t="s">
        <v>32</v>
      </c>
      <c r="AA154" s="29" t="s">
        <v>31</v>
      </c>
    </row>
    <row r="155" spans="1:27" ht="18.75" customHeight="1" x14ac:dyDescent="0.2">
      <c r="A155" s="20" t="s">
        <v>249</v>
      </c>
      <c r="B155" s="20" t="s">
        <v>28</v>
      </c>
      <c r="C155" s="21">
        <v>2004</v>
      </c>
      <c r="D155" s="22" t="s">
        <v>254</v>
      </c>
      <c r="E155" s="23" t="s">
        <v>255</v>
      </c>
      <c r="F155" s="20">
        <v>2</v>
      </c>
      <c r="G155" s="20">
        <v>3</v>
      </c>
      <c r="H155" s="20"/>
      <c r="I155" s="34">
        <v>63.33</v>
      </c>
      <c r="J155" s="45">
        <v>19.059999999999999</v>
      </c>
      <c r="K155" s="20">
        <v>20</v>
      </c>
      <c r="L155" s="26">
        <v>858.5</v>
      </c>
      <c r="M155" s="26"/>
      <c r="N155" s="34">
        <v>70.63</v>
      </c>
      <c r="O155" s="45">
        <v>18.579999999999998</v>
      </c>
      <c r="P155" s="20">
        <v>20</v>
      </c>
      <c r="Q155" s="20"/>
      <c r="R155" s="27">
        <f t="shared" si="32"/>
        <v>0.38785369270415399</v>
      </c>
      <c r="S155" s="20">
        <v>-1</v>
      </c>
      <c r="T155" s="23">
        <f t="shared" si="33"/>
        <v>-0.38785369270415399</v>
      </c>
      <c r="U155" s="23">
        <f t="shared" si="34"/>
        <v>-0.38014799020009793</v>
      </c>
      <c r="V155" s="23">
        <f t="shared" si="35"/>
        <v>-0.3850897140698179</v>
      </c>
      <c r="W155" s="28"/>
      <c r="X155" s="20">
        <v>2</v>
      </c>
      <c r="Y155" s="29" t="s">
        <v>31</v>
      </c>
      <c r="Z155" s="8" t="s">
        <v>32</v>
      </c>
      <c r="AA155" s="29" t="s">
        <v>31</v>
      </c>
    </row>
    <row r="156" spans="1:27" ht="18.75" customHeight="1" x14ac:dyDescent="0.2">
      <c r="A156" s="20" t="s">
        <v>249</v>
      </c>
      <c r="B156" s="20" t="s">
        <v>41</v>
      </c>
      <c r="C156" s="21">
        <v>2007</v>
      </c>
      <c r="D156" s="22" t="s">
        <v>256</v>
      </c>
      <c r="E156" s="23" t="s">
        <v>257</v>
      </c>
      <c r="F156" s="20">
        <v>3</v>
      </c>
      <c r="G156" s="20">
        <v>4</v>
      </c>
      <c r="H156" s="20"/>
      <c r="I156" s="34">
        <v>95</v>
      </c>
      <c r="J156" s="45">
        <v>13.9</v>
      </c>
      <c r="K156" s="20">
        <v>12</v>
      </c>
      <c r="L156" s="30" t="s">
        <v>44</v>
      </c>
      <c r="M156" s="30"/>
      <c r="N156" s="34">
        <v>97</v>
      </c>
      <c r="O156" s="45">
        <v>2.9</v>
      </c>
      <c r="P156" s="20">
        <v>12</v>
      </c>
      <c r="Q156" s="20"/>
      <c r="R156" s="27">
        <f t="shared" si="32"/>
        <v>0.19919488776864575</v>
      </c>
      <c r="S156" s="20">
        <v>-1</v>
      </c>
      <c r="T156" s="23">
        <f t="shared" si="33"/>
        <v>-0.19919488776864575</v>
      </c>
      <c r="U156" s="23">
        <f t="shared" si="34"/>
        <v>-0.19232609853524418</v>
      </c>
      <c r="V156" s="23">
        <f t="shared" si="35"/>
        <v>-0.66587395957193829</v>
      </c>
      <c r="W156" s="28"/>
      <c r="X156" s="31" t="s">
        <v>45</v>
      </c>
      <c r="Y156" s="32" t="s">
        <v>46</v>
      </c>
      <c r="Z156" s="32" t="s">
        <v>234</v>
      </c>
      <c r="AA156" s="29" t="s">
        <v>48</v>
      </c>
    </row>
    <row r="157" spans="1:27" ht="18.75" customHeight="1" x14ac:dyDescent="0.2">
      <c r="A157" s="20" t="s">
        <v>249</v>
      </c>
      <c r="B157" s="20" t="s">
        <v>60</v>
      </c>
      <c r="C157" s="21">
        <v>2017</v>
      </c>
      <c r="D157" s="22" t="s">
        <v>258</v>
      </c>
      <c r="E157" s="23" t="s">
        <v>259</v>
      </c>
      <c r="F157" s="20">
        <v>4</v>
      </c>
      <c r="G157" s="20">
        <v>5</v>
      </c>
      <c r="H157" s="20"/>
      <c r="I157" s="34">
        <v>14.1</v>
      </c>
      <c r="J157" s="45">
        <v>8.5</v>
      </c>
      <c r="K157" s="20">
        <v>37</v>
      </c>
      <c r="L157" s="26">
        <v>720</v>
      </c>
      <c r="M157" s="26"/>
      <c r="N157" s="34">
        <v>10.5</v>
      </c>
      <c r="O157" s="45">
        <v>8.3000000000000007</v>
      </c>
      <c r="P157" s="20">
        <v>30</v>
      </c>
      <c r="Q157" s="20"/>
      <c r="R157" s="27">
        <f t="shared" si="32"/>
        <v>-0.42854106250850227</v>
      </c>
      <c r="S157" s="20">
        <v>1</v>
      </c>
      <c r="T157" s="23">
        <f t="shared" si="33"/>
        <v>-0.42799278275311803</v>
      </c>
      <c r="U157" s="23">
        <f t="shared" si="34"/>
        <v>-0.42303533739304333</v>
      </c>
      <c r="V157" s="23">
        <f t="shared" si="35"/>
        <v>-0.42871098292785031</v>
      </c>
      <c r="W157" s="28"/>
      <c r="X157" s="20">
        <v>1</v>
      </c>
      <c r="Y157" s="29" t="s">
        <v>63</v>
      </c>
      <c r="Z157" s="8" t="s">
        <v>32</v>
      </c>
      <c r="AA157" s="29" t="s">
        <v>48</v>
      </c>
    </row>
    <row r="158" spans="1:27" ht="18.75" customHeight="1" x14ac:dyDescent="0.2">
      <c r="A158" s="20" t="s">
        <v>249</v>
      </c>
      <c r="B158" s="20" t="s">
        <v>60</v>
      </c>
      <c r="C158" s="21">
        <v>2017</v>
      </c>
      <c r="D158" s="22" t="s">
        <v>260</v>
      </c>
      <c r="E158" s="23" t="s">
        <v>261</v>
      </c>
      <c r="F158" s="20">
        <v>4</v>
      </c>
      <c r="G158" s="20">
        <v>6</v>
      </c>
      <c r="H158" s="20"/>
      <c r="I158" s="34">
        <v>3.1</v>
      </c>
      <c r="J158" s="45">
        <v>3.82</v>
      </c>
      <c r="K158" s="20">
        <v>37</v>
      </c>
      <c r="L158" s="26">
        <v>720</v>
      </c>
      <c r="M158" s="26"/>
      <c r="N158" s="34">
        <v>1.9</v>
      </c>
      <c r="O158" s="45">
        <v>1.9</v>
      </c>
      <c r="P158" s="20">
        <v>30</v>
      </c>
      <c r="Q158" s="20"/>
      <c r="R158" s="27">
        <f t="shared" si="32"/>
        <v>-0.39776990075677027</v>
      </c>
      <c r="S158" s="20">
        <v>1</v>
      </c>
      <c r="T158" s="23">
        <f t="shared" si="33"/>
        <v>-0.38544462779809185</v>
      </c>
      <c r="U158" s="23">
        <f t="shared" si="34"/>
        <v>-0.38098001820969696</v>
      </c>
      <c r="V158" s="23">
        <f t="shared" si="35"/>
        <v>-0.62426336110546643</v>
      </c>
      <c r="W158" s="28"/>
      <c r="X158" s="20">
        <v>1</v>
      </c>
      <c r="Y158" s="29" t="s">
        <v>63</v>
      </c>
      <c r="Z158" s="8" t="s">
        <v>32</v>
      </c>
      <c r="AA158" s="29" t="s">
        <v>48</v>
      </c>
    </row>
    <row r="159" spans="1:27" ht="18.75" customHeight="1" x14ac:dyDescent="0.2">
      <c r="A159" s="20" t="s">
        <v>249</v>
      </c>
      <c r="B159" s="21" t="s">
        <v>77</v>
      </c>
      <c r="C159" s="21">
        <v>2020</v>
      </c>
      <c r="D159" s="22" t="s">
        <v>258</v>
      </c>
      <c r="E159" s="23" t="s">
        <v>259</v>
      </c>
      <c r="F159" s="21">
        <v>5</v>
      </c>
      <c r="G159" s="20">
        <v>7</v>
      </c>
      <c r="H159" s="20"/>
      <c r="I159" s="24">
        <v>2.2999999999999998</v>
      </c>
      <c r="J159" s="25">
        <v>2.2000000000000002</v>
      </c>
      <c r="K159" s="21">
        <v>19</v>
      </c>
      <c r="L159" s="26">
        <v>1042</v>
      </c>
      <c r="M159" s="26"/>
      <c r="N159" s="24">
        <v>1.2</v>
      </c>
      <c r="O159" s="25">
        <v>1.3</v>
      </c>
      <c r="P159" s="21">
        <v>19</v>
      </c>
      <c r="Q159" s="21"/>
      <c r="R159" s="27">
        <f t="shared" si="32"/>
        <v>-0.60876698620373393</v>
      </c>
      <c r="S159" s="20">
        <v>1</v>
      </c>
      <c r="T159" s="23">
        <f>(N159-I159)/SQRT((((P159-1)*O159^2) + ((K159-1)*J159^2))/(P159+K159-2))*S159</f>
        <v>-0.60876698620373393</v>
      </c>
      <c r="U159" s="23">
        <f t="shared" si="34"/>
        <v>-0.59599565082883044</v>
      </c>
      <c r="V159" s="23">
        <f t="shared" si="35"/>
        <v>-0.82840236686390523</v>
      </c>
      <c r="W159" s="28"/>
      <c r="X159" s="20">
        <v>1</v>
      </c>
      <c r="Y159" s="29" t="s">
        <v>63</v>
      </c>
      <c r="Z159" s="42" t="s">
        <v>44</v>
      </c>
      <c r="AA159" s="29" t="s">
        <v>48</v>
      </c>
    </row>
    <row r="160" spans="1:27" ht="18.75" customHeight="1" x14ac:dyDescent="0.2">
      <c r="A160" s="20" t="s">
        <v>249</v>
      </c>
      <c r="B160" s="20" t="s">
        <v>72</v>
      </c>
      <c r="C160" s="21">
        <v>1994</v>
      </c>
      <c r="D160" s="22" t="s">
        <v>262</v>
      </c>
      <c r="E160" s="23" t="s">
        <v>263</v>
      </c>
      <c r="F160" s="20">
        <v>6</v>
      </c>
      <c r="G160" s="20">
        <v>8</v>
      </c>
      <c r="H160" s="20"/>
      <c r="I160" s="34">
        <v>64</v>
      </c>
      <c r="J160" s="45">
        <v>10</v>
      </c>
      <c r="K160" s="20">
        <v>25</v>
      </c>
      <c r="L160" s="26">
        <v>1332</v>
      </c>
      <c r="M160" s="26"/>
      <c r="N160" s="34">
        <v>69</v>
      </c>
      <c r="O160" s="45">
        <v>2</v>
      </c>
      <c r="P160" s="20">
        <v>15</v>
      </c>
      <c r="Q160" s="20"/>
      <c r="R160" s="27">
        <f t="shared" si="32"/>
        <v>0.69337524528153649</v>
      </c>
      <c r="S160" s="20">
        <v>-1</v>
      </c>
      <c r="T160" s="23">
        <f>(N160-I160)/SQRT((((P160-1)*O160^2) + ((K160-1)*J160^2))/(P160+K160-2))*S160</f>
        <v>-0.6219387571052124</v>
      </c>
      <c r="U160" s="23">
        <f t="shared" si="34"/>
        <v>-0.60958235795742677</v>
      </c>
      <c r="V160" s="23">
        <f t="shared" si="35"/>
        <v>-2.4503311258278146</v>
      </c>
      <c r="W160" s="28"/>
      <c r="X160" s="20">
        <v>2</v>
      </c>
      <c r="Y160" s="29" t="s">
        <v>31</v>
      </c>
      <c r="Z160" s="8" t="s">
        <v>32</v>
      </c>
      <c r="AA160" s="29" t="s">
        <v>31</v>
      </c>
    </row>
    <row r="161" spans="1:27" ht="18.75" customHeight="1" x14ac:dyDescent="0.2">
      <c r="A161" s="20" t="s">
        <v>249</v>
      </c>
      <c r="B161" s="135" t="s">
        <v>509</v>
      </c>
      <c r="C161" s="137">
        <v>2021</v>
      </c>
      <c r="D161" s="22" t="s">
        <v>262</v>
      </c>
      <c r="E161" s="23"/>
      <c r="F161" s="20">
        <v>7</v>
      </c>
      <c r="G161" s="20">
        <v>9</v>
      </c>
      <c r="H161" s="20"/>
      <c r="I161" s="34">
        <v>21</v>
      </c>
      <c r="J161" s="45">
        <f>(29-15)/1.35</f>
        <v>10.37037037037037</v>
      </c>
      <c r="K161" s="20">
        <v>19</v>
      </c>
      <c r="L161" s="26">
        <v>890</v>
      </c>
      <c r="M161" s="26"/>
      <c r="N161" s="34">
        <v>30</v>
      </c>
      <c r="O161" s="45">
        <f>(32-28)/1.35</f>
        <v>2.9629629629629628</v>
      </c>
      <c r="P161" s="20">
        <v>25</v>
      </c>
      <c r="Q161" s="20"/>
      <c r="R161" s="27">
        <f t="shared" si="32"/>
        <v>1.180112322764076</v>
      </c>
      <c r="S161" s="20">
        <v>-1</v>
      </c>
      <c r="T161" s="136">
        <f>(N161-I161)/SQRT((((P161-1)*O161^2) + ((K161-1)*J161^2))/(P161+K161-2))*S161</f>
        <v>-1.2589297601948628</v>
      </c>
      <c r="U161" s="136">
        <f t="shared" si="34"/>
        <v>-1.2363142555207036</v>
      </c>
      <c r="V161" s="136">
        <f t="shared" si="35"/>
        <v>-2.9829341317365268</v>
      </c>
      <c r="W161" s="28"/>
      <c r="X161" s="20"/>
      <c r="AA161" s="29"/>
    </row>
    <row r="162" spans="1:27" ht="18.75" customHeight="1" x14ac:dyDescent="0.2">
      <c r="A162" s="20" t="s">
        <v>249</v>
      </c>
      <c r="B162" s="149" t="s">
        <v>590</v>
      </c>
      <c r="C162" s="21">
        <v>2014</v>
      </c>
      <c r="D162" s="22" t="s">
        <v>593</v>
      </c>
      <c r="E162" s="96" t="s">
        <v>592</v>
      </c>
      <c r="F162" s="21">
        <v>8</v>
      </c>
      <c r="G162" s="20">
        <v>10</v>
      </c>
      <c r="H162" s="20"/>
      <c r="I162" s="36">
        <v>92.8</v>
      </c>
      <c r="J162" s="25">
        <v>22.4</v>
      </c>
      <c r="K162" s="21">
        <v>9</v>
      </c>
      <c r="L162" s="26">
        <v>697.9</v>
      </c>
      <c r="M162" s="26"/>
      <c r="N162" s="36">
        <v>100</v>
      </c>
      <c r="O162" s="25">
        <v>15</v>
      </c>
      <c r="P162" s="48">
        <v>20</v>
      </c>
      <c r="Q162" s="21"/>
      <c r="R162" s="27">
        <f t="shared" si="32"/>
        <v>0.37770434959882682</v>
      </c>
      <c r="S162" s="20">
        <v>-1</v>
      </c>
      <c r="T162" s="23">
        <f>(N162-I162)/SQRT((((P162-1)*O162^2) + ((K162-1)*J162^2))/(P162+K162-2))*S162</f>
        <v>-0.4109237218069004</v>
      </c>
      <c r="U162" s="23">
        <f t="shared" si="34"/>
        <v>-0.39940249596184713</v>
      </c>
      <c r="V162" s="23">
        <f t="shared" si="35"/>
        <v>-0.46654205607476656</v>
      </c>
      <c r="W162" s="28"/>
      <c r="X162" s="48"/>
      <c r="Y162" s="42"/>
      <c r="AA162" s="42"/>
    </row>
    <row r="163" spans="1:27" ht="18.75" customHeight="1" x14ac:dyDescent="0.2">
      <c r="A163" s="20" t="s">
        <v>249</v>
      </c>
      <c r="B163" s="149" t="s">
        <v>590</v>
      </c>
      <c r="C163" s="21">
        <v>2014</v>
      </c>
      <c r="D163" s="22" t="s">
        <v>595</v>
      </c>
      <c r="E163" s="96" t="s">
        <v>592</v>
      </c>
      <c r="F163" s="21">
        <v>8</v>
      </c>
      <c r="G163" s="20">
        <v>10</v>
      </c>
      <c r="H163" s="20"/>
      <c r="I163" s="36">
        <v>92.1</v>
      </c>
      <c r="J163" s="25">
        <v>15</v>
      </c>
      <c r="K163" s="21">
        <v>9</v>
      </c>
      <c r="L163" s="26">
        <v>697.9</v>
      </c>
      <c r="M163" s="26"/>
      <c r="N163" s="36">
        <v>100</v>
      </c>
      <c r="O163" s="25">
        <v>15</v>
      </c>
      <c r="P163" s="48">
        <v>20</v>
      </c>
      <c r="Q163" s="21"/>
      <c r="R163" s="27">
        <f>(N163-I163)/SQRT((O163^2+J163^2)/2)</f>
        <v>0.52666666666666706</v>
      </c>
      <c r="S163" s="20">
        <v>-1</v>
      </c>
      <c r="T163" s="23">
        <f>(N163-I163)/SQRT((((P163-1)*O163^2) + ((K163-1)*J163^2))/(P163+K163-2))*S163</f>
        <v>-0.52666666666666706</v>
      </c>
      <c r="U163" s="23">
        <f>T163*(1-(3/(4*(K163+P163-2) -1)))</f>
        <v>-0.51190031152648008</v>
      </c>
      <c r="V163" s="23">
        <f>((N163-I163)/O163)*S163 * (1-(3/(4*(K163+P163-2)-1)))</f>
        <v>-0.51190031152648008</v>
      </c>
      <c r="W163" s="28"/>
      <c r="X163" s="48"/>
      <c r="Y163" s="42"/>
      <c r="AA163" s="42"/>
    </row>
    <row r="164" spans="1:27" s="159" customFormat="1" ht="18.75" customHeight="1" x14ac:dyDescent="0.2">
      <c r="A164" s="90"/>
      <c r="B164" s="90"/>
      <c r="C164" s="88"/>
      <c r="D164" s="152"/>
      <c r="E164" s="153"/>
      <c r="F164" s="88"/>
      <c r="G164" s="90"/>
      <c r="H164" s="90"/>
      <c r="I164" s="154"/>
      <c r="J164" s="168">
        <f>AVERAGE(J153:J160)</f>
        <v>12.376250000000001</v>
      </c>
      <c r="K164" s="37">
        <f>SUM(K153,K154,K156,K157,K159,K160,K161,K162)</f>
        <v>155</v>
      </c>
      <c r="L164" s="162">
        <f>AVERAGE(L153:L160)</f>
        <v>921.83333333333337</v>
      </c>
      <c r="M164" s="89"/>
      <c r="N164" s="154"/>
      <c r="O164" s="168">
        <f>AVERAGE(O153:O160)</f>
        <v>9.3812499999999996</v>
      </c>
      <c r="P164" s="37">
        <f>SUM(P153,P154,P156,P157,P159,P160,P161,P162)</f>
        <v>155</v>
      </c>
      <c r="Q164" s="88"/>
      <c r="R164" s="157"/>
      <c r="S164" s="90"/>
      <c r="T164" s="161">
        <f>AVERAGE(T153:T163)</f>
        <v>-0.49173767581516903</v>
      </c>
      <c r="U164" s="161">
        <f>AVERAGE(U153:U163)</f>
        <v>-0.4814846470908245</v>
      </c>
      <c r="V164" s="161">
        <f>AVERAGE(V153:V163)</f>
        <v>-0.90051808179225823</v>
      </c>
      <c r="W164" s="161" t="e">
        <f>AVERAGE(W153:W160,W162:W163)</f>
        <v>#DIV/0!</v>
      </c>
      <c r="X164" s="156"/>
      <c r="Y164" s="158"/>
      <c r="AA164" s="158"/>
    </row>
    <row r="165" spans="1:27" ht="18.75" customHeight="1" x14ac:dyDescent="0.2">
      <c r="A165" s="20"/>
      <c r="B165" s="20"/>
      <c r="C165" s="21"/>
      <c r="E165" s="23"/>
      <c r="F165" s="20"/>
      <c r="G165" s="20"/>
      <c r="H165" s="20"/>
      <c r="I165" s="34"/>
      <c r="J165" s="45"/>
      <c r="K165" s="20"/>
      <c r="L165" s="26"/>
      <c r="M165" s="26"/>
      <c r="N165" s="34"/>
      <c r="O165" s="45"/>
      <c r="P165" s="20"/>
      <c r="Q165" s="20"/>
      <c r="R165" s="27"/>
      <c r="S165" s="20">
        <v>0</v>
      </c>
      <c r="T165" s="44">
        <f>STDEV(T153:T163)</f>
        <v>0.28734968723883458</v>
      </c>
      <c r="U165" s="44">
        <f>STDEV(U153:U163)</f>
        <v>0.28256886882935289</v>
      </c>
      <c r="V165" s="44">
        <f>STDEV(V153:V163)</f>
        <v>0.92083011738131815</v>
      </c>
      <c r="W165" s="21"/>
      <c r="X165" s="20"/>
      <c r="AA165" s="29"/>
    </row>
    <row r="166" spans="1:27" ht="18.75" customHeight="1" x14ac:dyDescent="0.2">
      <c r="A166" s="20" t="s">
        <v>264</v>
      </c>
      <c r="B166" s="20" t="s">
        <v>53</v>
      </c>
      <c r="C166" s="21">
        <v>2015</v>
      </c>
      <c r="D166" s="22" t="s">
        <v>265</v>
      </c>
      <c r="E166" s="23" t="s">
        <v>266</v>
      </c>
      <c r="F166" s="20">
        <v>1</v>
      </c>
      <c r="G166" s="20">
        <v>1</v>
      </c>
      <c r="H166" s="20"/>
      <c r="I166" s="34">
        <v>77.86</v>
      </c>
      <c r="J166" s="45">
        <v>28.6</v>
      </c>
      <c r="K166" s="20">
        <v>14</v>
      </c>
      <c r="L166" s="30" t="s">
        <v>44</v>
      </c>
      <c r="M166" s="30"/>
      <c r="N166" s="34">
        <v>86.79</v>
      </c>
      <c r="O166" s="45">
        <v>24.31</v>
      </c>
      <c r="P166" s="20">
        <v>14</v>
      </c>
      <c r="Q166" s="20"/>
      <c r="R166" s="27">
        <f t="shared" ref="R166:R175" si="36">(N166-I166)/SQRT((O166^2+J166^2)/2)</f>
        <v>0.33645021355751514</v>
      </c>
      <c r="S166" s="20">
        <v>-1</v>
      </c>
      <c r="T166" s="23">
        <f t="shared" ref="T166:T177" si="37">(N166-I166)/SQRT((((P166-1)*O166^2) + ((K166-1)*J166^2))/(P166+K166-2))*S166</f>
        <v>-0.33645021355751509</v>
      </c>
      <c r="U166" s="23">
        <f t="shared" ref="U166:U177" si="38">T166*(1-(3/(4*(K166+P166-2) -1)))</f>
        <v>-0.32665069277428649</v>
      </c>
      <c r="V166" s="23">
        <f t="shared" ref="V166:V177" si="39">((N166-I166)/O166)*S166 * (1-(3/(4*(K166+P166-2)-1)))</f>
        <v>-0.35663936292148773</v>
      </c>
      <c r="W166" s="28"/>
      <c r="X166" s="31" t="s">
        <v>56</v>
      </c>
      <c r="Y166" s="32" t="s">
        <v>57</v>
      </c>
      <c r="Z166" s="8" t="s">
        <v>32</v>
      </c>
      <c r="AA166" s="32" t="s">
        <v>57</v>
      </c>
    </row>
    <row r="167" spans="1:27" ht="18.75" customHeight="1" x14ac:dyDescent="0.2">
      <c r="A167" s="20" t="s">
        <v>264</v>
      </c>
      <c r="B167" s="20" t="s">
        <v>28</v>
      </c>
      <c r="C167" s="21">
        <v>2004</v>
      </c>
      <c r="D167" s="22" t="s">
        <v>267</v>
      </c>
      <c r="E167" s="23" t="s">
        <v>268</v>
      </c>
      <c r="F167" s="20">
        <v>2</v>
      </c>
      <c r="G167" s="20">
        <v>2</v>
      </c>
      <c r="H167" s="20"/>
      <c r="I167" s="34">
        <v>98.19</v>
      </c>
      <c r="J167" s="45">
        <v>2.59</v>
      </c>
      <c r="K167" s="20">
        <v>20</v>
      </c>
      <c r="L167" s="26">
        <v>858.5</v>
      </c>
      <c r="M167" s="26"/>
      <c r="N167" s="34">
        <v>98.19</v>
      </c>
      <c r="O167" s="45">
        <v>4.16</v>
      </c>
      <c r="P167" s="20">
        <v>20</v>
      </c>
      <c r="Q167" s="20"/>
      <c r="R167" s="27">
        <f t="shared" si="36"/>
        <v>0</v>
      </c>
      <c r="S167" s="20">
        <v>-1</v>
      </c>
      <c r="T167" s="23">
        <f t="shared" si="37"/>
        <v>0</v>
      </c>
      <c r="U167" s="23">
        <f t="shared" si="38"/>
        <v>0</v>
      </c>
      <c r="V167" s="23">
        <f t="shared" si="39"/>
        <v>0</v>
      </c>
      <c r="W167" s="21"/>
      <c r="X167" s="20">
        <v>2</v>
      </c>
      <c r="Y167" s="29" t="s">
        <v>31</v>
      </c>
      <c r="Z167" s="8" t="s">
        <v>32</v>
      </c>
      <c r="AA167" s="29" t="s">
        <v>31</v>
      </c>
    </row>
    <row r="168" spans="1:27" ht="18.75" customHeight="1" x14ac:dyDescent="0.2">
      <c r="A168" s="20" t="s">
        <v>264</v>
      </c>
      <c r="B168" s="20" t="s">
        <v>33</v>
      </c>
      <c r="C168" s="21">
        <v>2005</v>
      </c>
      <c r="D168" s="22" t="s">
        <v>269</v>
      </c>
      <c r="E168" s="23" t="s">
        <v>270</v>
      </c>
      <c r="F168" s="20">
        <v>3</v>
      </c>
      <c r="G168" s="20">
        <v>3</v>
      </c>
      <c r="H168" s="20"/>
      <c r="I168" s="34">
        <v>99.4</v>
      </c>
      <c r="J168" s="45">
        <v>1.66</v>
      </c>
      <c r="K168" s="20">
        <v>25</v>
      </c>
      <c r="L168" s="26">
        <v>758.79</v>
      </c>
      <c r="M168" s="26"/>
      <c r="N168" s="34">
        <v>99.4</v>
      </c>
      <c r="O168" s="45">
        <v>1.66</v>
      </c>
      <c r="P168" s="20">
        <v>25</v>
      </c>
      <c r="Q168" s="20"/>
      <c r="R168" s="27">
        <f t="shared" si="36"/>
        <v>0</v>
      </c>
      <c r="S168" s="20">
        <v>-1</v>
      </c>
      <c r="T168" s="23">
        <f t="shared" si="37"/>
        <v>0</v>
      </c>
      <c r="U168" s="23">
        <f t="shared" si="38"/>
        <v>0</v>
      </c>
      <c r="V168" s="23">
        <f t="shared" si="39"/>
        <v>0</v>
      </c>
      <c r="W168" s="28"/>
      <c r="X168" s="20">
        <v>2</v>
      </c>
      <c r="Y168" s="29" t="s">
        <v>31</v>
      </c>
      <c r="Z168" s="8" t="s">
        <v>32</v>
      </c>
      <c r="AA168" s="29" t="s">
        <v>31</v>
      </c>
    </row>
    <row r="169" spans="1:27" ht="18.75" customHeight="1" x14ac:dyDescent="0.2">
      <c r="A169" s="20" t="s">
        <v>264</v>
      </c>
      <c r="B169" s="20" t="s">
        <v>33</v>
      </c>
      <c r="C169" s="21">
        <v>2005</v>
      </c>
      <c r="D169" s="22" t="s">
        <v>271</v>
      </c>
      <c r="E169" s="23" t="s">
        <v>272</v>
      </c>
      <c r="F169" s="20">
        <v>3</v>
      </c>
      <c r="G169" s="20">
        <v>4</v>
      </c>
      <c r="H169" s="20"/>
      <c r="I169" s="34">
        <v>0.99</v>
      </c>
      <c r="J169" s="45">
        <v>0.35</v>
      </c>
      <c r="K169" s="20">
        <v>25</v>
      </c>
      <c r="L169" s="26">
        <v>758.79</v>
      </c>
      <c r="M169" s="26"/>
      <c r="N169" s="34">
        <v>0.83</v>
      </c>
      <c r="O169" s="45">
        <v>0.26</v>
      </c>
      <c r="P169" s="20">
        <v>25</v>
      </c>
      <c r="Q169" s="20"/>
      <c r="R169" s="27">
        <f t="shared" si="36"/>
        <v>-0.51897199400628724</v>
      </c>
      <c r="S169" s="20">
        <v>1</v>
      </c>
      <c r="T169" s="23">
        <f t="shared" si="37"/>
        <v>-0.51897199400628713</v>
      </c>
      <c r="U169" s="23">
        <f t="shared" si="38"/>
        <v>-0.51082060143027219</v>
      </c>
      <c r="V169" s="23">
        <f t="shared" si="39"/>
        <v>-0.60571888844140165</v>
      </c>
      <c r="W169" s="28"/>
      <c r="X169" s="20">
        <v>2</v>
      </c>
      <c r="Y169" s="29" t="s">
        <v>31</v>
      </c>
      <c r="Z169" s="8" t="s">
        <v>32</v>
      </c>
      <c r="AA169" s="29" t="s">
        <v>31</v>
      </c>
    </row>
    <row r="170" spans="1:27" ht="18.75" customHeight="1" x14ac:dyDescent="0.2">
      <c r="A170" s="20" t="s">
        <v>264</v>
      </c>
      <c r="B170" s="20" t="s">
        <v>33</v>
      </c>
      <c r="C170" s="21">
        <v>2005</v>
      </c>
      <c r="D170" s="22" t="s">
        <v>273</v>
      </c>
      <c r="E170" s="23" t="s">
        <v>274</v>
      </c>
      <c r="F170" s="20">
        <v>3</v>
      </c>
      <c r="G170" s="20">
        <v>5</v>
      </c>
      <c r="H170" s="20"/>
      <c r="I170" s="34">
        <v>97.4</v>
      </c>
      <c r="J170" s="45">
        <v>3.85</v>
      </c>
      <c r="K170" s="20">
        <v>25</v>
      </c>
      <c r="L170" s="26">
        <v>758.79</v>
      </c>
      <c r="M170" s="26"/>
      <c r="N170" s="34">
        <v>98.8</v>
      </c>
      <c r="O170" s="45">
        <v>2.1800000000000002</v>
      </c>
      <c r="P170" s="20">
        <v>25</v>
      </c>
      <c r="Q170" s="20"/>
      <c r="R170" s="27">
        <f t="shared" si="36"/>
        <v>0.44750022442798021</v>
      </c>
      <c r="S170" s="20">
        <v>-1</v>
      </c>
      <c r="T170" s="23">
        <f t="shared" si="37"/>
        <v>-0.44750022442798021</v>
      </c>
      <c r="U170" s="23">
        <f t="shared" si="38"/>
        <v>-0.44047142509141507</v>
      </c>
      <c r="V170" s="23">
        <f t="shared" si="39"/>
        <v>-0.63211489504778906</v>
      </c>
      <c r="W170" s="28"/>
      <c r="X170" s="20">
        <v>2</v>
      </c>
      <c r="Y170" s="29" t="s">
        <v>31</v>
      </c>
      <c r="Z170" s="8" t="s">
        <v>32</v>
      </c>
      <c r="AA170" s="29" t="s">
        <v>31</v>
      </c>
    </row>
    <row r="171" spans="1:27" ht="18.75" customHeight="1" x14ac:dyDescent="0.2">
      <c r="A171" s="20" t="s">
        <v>264</v>
      </c>
      <c r="B171" s="20" t="s">
        <v>33</v>
      </c>
      <c r="C171" s="21">
        <v>2005</v>
      </c>
      <c r="D171" s="22" t="s">
        <v>275</v>
      </c>
      <c r="E171" s="23" t="s">
        <v>276</v>
      </c>
      <c r="F171" s="20">
        <v>3</v>
      </c>
      <c r="G171" s="20">
        <v>6</v>
      </c>
      <c r="H171" s="20"/>
      <c r="I171" s="34">
        <v>1.1299999999999999</v>
      </c>
      <c r="J171" s="45">
        <v>0.34</v>
      </c>
      <c r="K171" s="20">
        <v>25</v>
      </c>
      <c r="L171" s="26">
        <v>758.79</v>
      </c>
      <c r="M171" s="26"/>
      <c r="N171" s="34">
        <v>1.02</v>
      </c>
      <c r="O171" s="45">
        <v>0.33</v>
      </c>
      <c r="P171" s="20">
        <v>25</v>
      </c>
      <c r="Q171" s="20"/>
      <c r="R171" s="27">
        <f t="shared" si="36"/>
        <v>-0.32832164141694481</v>
      </c>
      <c r="S171" s="20">
        <v>1</v>
      </c>
      <c r="T171" s="23">
        <f t="shared" si="37"/>
        <v>-0.32832164141694481</v>
      </c>
      <c r="U171" s="23">
        <f t="shared" si="38"/>
        <v>-0.32316475699678338</v>
      </c>
      <c r="V171" s="23">
        <f t="shared" si="39"/>
        <v>-0.32809773123909208</v>
      </c>
      <c r="W171" s="28"/>
      <c r="X171" s="20">
        <v>2</v>
      </c>
      <c r="Y171" s="29" t="s">
        <v>31</v>
      </c>
      <c r="Z171" s="8" t="s">
        <v>32</v>
      </c>
      <c r="AA171" s="29" t="s">
        <v>31</v>
      </c>
    </row>
    <row r="172" spans="1:27" ht="18.75" customHeight="1" x14ac:dyDescent="0.2">
      <c r="A172" s="20" t="s">
        <v>264</v>
      </c>
      <c r="B172" s="20" t="s">
        <v>38</v>
      </c>
      <c r="C172" s="21">
        <v>2007</v>
      </c>
      <c r="D172" s="22" t="s">
        <v>269</v>
      </c>
      <c r="E172" s="23" t="s">
        <v>277</v>
      </c>
      <c r="F172" s="20">
        <v>4</v>
      </c>
      <c r="G172" s="20">
        <v>7</v>
      </c>
      <c r="H172" s="20"/>
      <c r="I172" s="34">
        <v>98.2</v>
      </c>
      <c r="J172" s="45">
        <v>2.84</v>
      </c>
      <c r="K172" s="20">
        <v>25</v>
      </c>
      <c r="L172" s="26">
        <v>1285.68</v>
      </c>
      <c r="M172" s="26"/>
      <c r="N172" s="34">
        <v>98.6</v>
      </c>
      <c r="O172" s="45">
        <v>2.02</v>
      </c>
      <c r="P172" s="20">
        <v>45</v>
      </c>
      <c r="Q172" s="20"/>
      <c r="R172" s="27">
        <f t="shared" si="36"/>
        <v>0.16231488588586224</v>
      </c>
      <c r="S172" s="20">
        <v>-1</v>
      </c>
      <c r="T172" s="23">
        <f t="shared" si="37"/>
        <v>-0.17076341804693462</v>
      </c>
      <c r="U172" s="23">
        <f t="shared" si="38"/>
        <v>-0.16887304810545564</v>
      </c>
      <c r="V172" s="23">
        <f t="shared" si="39"/>
        <v>-0.19582770085126178</v>
      </c>
      <c r="W172" s="28"/>
      <c r="X172" s="20">
        <v>2</v>
      </c>
      <c r="Y172" s="29" t="s">
        <v>31</v>
      </c>
      <c r="Z172" s="32" t="s">
        <v>234</v>
      </c>
      <c r="AA172" s="29" t="s">
        <v>31</v>
      </c>
    </row>
    <row r="173" spans="1:27" ht="18.75" customHeight="1" x14ac:dyDescent="0.2">
      <c r="A173" s="20" t="s">
        <v>264</v>
      </c>
      <c r="B173" s="20" t="s">
        <v>38</v>
      </c>
      <c r="C173" s="21">
        <v>2007</v>
      </c>
      <c r="D173" s="22" t="s">
        <v>271</v>
      </c>
      <c r="E173" s="23" t="s">
        <v>278</v>
      </c>
      <c r="F173" s="20">
        <v>4</v>
      </c>
      <c r="G173" s="20">
        <v>8</v>
      </c>
      <c r="H173" s="20"/>
      <c r="I173" s="34">
        <v>0.87</v>
      </c>
      <c r="J173" s="45">
        <v>0.2</v>
      </c>
      <c r="K173" s="20">
        <v>25</v>
      </c>
      <c r="L173" s="26">
        <v>1285.68</v>
      </c>
      <c r="M173" s="26"/>
      <c r="N173" s="34">
        <v>0.82</v>
      </c>
      <c r="O173" s="45">
        <v>0.26</v>
      </c>
      <c r="P173" s="20">
        <v>45</v>
      </c>
      <c r="Q173" s="20"/>
      <c r="R173" s="27">
        <f t="shared" si="36"/>
        <v>-0.21556530677961361</v>
      </c>
      <c r="S173" s="20">
        <v>1</v>
      </c>
      <c r="T173" s="23">
        <f t="shared" si="37"/>
        <v>-0.20786683571654557</v>
      </c>
      <c r="U173" s="23">
        <f t="shared" si="38"/>
        <v>-0.20556572683407459</v>
      </c>
      <c r="V173" s="23">
        <f t="shared" si="39"/>
        <v>-0.1901788248651719</v>
      </c>
      <c r="W173" s="28"/>
      <c r="X173" s="20">
        <v>2</v>
      </c>
      <c r="Y173" s="29" t="s">
        <v>31</v>
      </c>
      <c r="Z173" s="32" t="s">
        <v>234</v>
      </c>
      <c r="AA173" s="29" t="s">
        <v>31</v>
      </c>
    </row>
    <row r="174" spans="1:27" ht="18.75" customHeight="1" x14ac:dyDescent="0.2">
      <c r="A174" s="20" t="s">
        <v>264</v>
      </c>
      <c r="B174" s="20" t="s">
        <v>38</v>
      </c>
      <c r="C174" s="21">
        <v>2007</v>
      </c>
      <c r="D174" s="22" t="s">
        <v>273</v>
      </c>
      <c r="E174" s="23" t="s">
        <v>279</v>
      </c>
      <c r="F174" s="20">
        <v>4</v>
      </c>
      <c r="G174" s="20">
        <v>9</v>
      </c>
      <c r="H174" s="20"/>
      <c r="I174" s="34">
        <v>97</v>
      </c>
      <c r="J174" s="45">
        <v>5.95</v>
      </c>
      <c r="K174" s="20">
        <v>25</v>
      </c>
      <c r="L174" s="26">
        <v>1285.68</v>
      </c>
      <c r="M174" s="26"/>
      <c r="N174" s="34">
        <v>98</v>
      </c>
      <c r="O174" s="45">
        <v>2.61</v>
      </c>
      <c r="P174" s="20">
        <v>45</v>
      </c>
      <c r="Q174" s="20"/>
      <c r="R174" s="27">
        <f t="shared" si="36"/>
        <v>0.21766252282644513</v>
      </c>
      <c r="S174" s="20">
        <v>-1</v>
      </c>
      <c r="T174" s="23">
        <f t="shared" si="37"/>
        <v>-0.24323176752709033</v>
      </c>
      <c r="U174" s="23">
        <f t="shared" si="38"/>
        <v>-0.24053916493453953</v>
      </c>
      <c r="V174" s="23">
        <f t="shared" si="39"/>
        <v>-0.37890034072754525</v>
      </c>
      <c r="W174" s="28"/>
      <c r="X174" s="20">
        <v>2</v>
      </c>
      <c r="Y174" s="29" t="s">
        <v>31</v>
      </c>
      <c r="Z174" s="32" t="s">
        <v>234</v>
      </c>
      <c r="AA174" s="29" t="s">
        <v>31</v>
      </c>
    </row>
    <row r="175" spans="1:27" ht="18.75" customHeight="1" x14ac:dyDescent="0.2">
      <c r="A175" s="20" t="s">
        <v>264</v>
      </c>
      <c r="B175" s="20" t="s">
        <v>38</v>
      </c>
      <c r="C175" s="21">
        <v>2007</v>
      </c>
      <c r="D175" s="22" t="s">
        <v>275</v>
      </c>
      <c r="E175" s="23" t="s">
        <v>280</v>
      </c>
      <c r="F175" s="20">
        <v>4</v>
      </c>
      <c r="G175" s="20">
        <v>10</v>
      </c>
      <c r="H175" s="20"/>
      <c r="I175" s="34">
        <v>0.98</v>
      </c>
      <c r="J175" s="45">
        <v>0.24</v>
      </c>
      <c r="K175" s="20">
        <v>25</v>
      </c>
      <c r="L175" s="26">
        <v>1285.68</v>
      </c>
      <c r="M175" s="26"/>
      <c r="N175" s="34">
        <v>1</v>
      </c>
      <c r="O175" s="45">
        <v>32</v>
      </c>
      <c r="P175" s="20">
        <v>45</v>
      </c>
      <c r="Q175" s="20"/>
      <c r="R175" s="27">
        <f t="shared" si="36"/>
        <v>8.8385861830910829E-4</v>
      </c>
      <c r="S175" s="20">
        <v>1</v>
      </c>
      <c r="T175" s="23">
        <f t="shared" si="37"/>
        <v>7.7696503137658927E-4</v>
      </c>
      <c r="U175" s="23">
        <f t="shared" si="38"/>
        <v>7.6836394246836137E-4</v>
      </c>
      <c r="V175" s="23">
        <f t="shared" si="39"/>
        <v>6.180811808118087E-4</v>
      </c>
      <c r="W175" s="28"/>
      <c r="X175" s="20">
        <v>2</v>
      </c>
      <c r="Y175" s="29" t="s">
        <v>31</v>
      </c>
      <c r="Z175" s="32" t="s">
        <v>234</v>
      </c>
      <c r="AA175" s="29" t="s">
        <v>31</v>
      </c>
    </row>
    <row r="176" spans="1:27" ht="18.75" customHeight="1" x14ac:dyDescent="0.2">
      <c r="A176" s="20" t="s">
        <v>264</v>
      </c>
      <c r="B176" s="135" t="s">
        <v>518</v>
      </c>
      <c r="C176" s="21">
        <v>2021</v>
      </c>
      <c r="D176" s="22" t="s">
        <v>265</v>
      </c>
      <c r="E176" s="23"/>
      <c r="F176" s="20">
        <v>5</v>
      </c>
      <c r="G176" s="20">
        <v>11</v>
      </c>
      <c r="H176" s="20"/>
      <c r="I176" s="34">
        <v>36</v>
      </c>
      <c r="J176" s="45">
        <f>(36-34)/1.35</f>
        <v>1.4814814814814814</v>
      </c>
      <c r="K176" s="20">
        <v>19</v>
      </c>
      <c r="L176" s="26">
        <v>890</v>
      </c>
      <c r="M176" s="26"/>
      <c r="N176" s="34">
        <v>36</v>
      </c>
      <c r="O176" s="45">
        <f>(36-35)/1.35</f>
        <v>0.7407407407407407</v>
      </c>
      <c r="P176" s="20">
        <v>25</v>
      </c>
      <c r="Q176" s="20"/>
      <c r="R176" s="27">
        <v>0</v>
      </c>
      <c r="S176" s="20">
        <v>1</v>
      </c>
      <c r="T176" s="23">
        <f>(N176-I176)/SQRT((((P176-1)*O176^2) + ((K176-1)*J176^2))/(P176+K176-2))*S176</f>
        <v>0</v>
      </c>
      <c r="U176" s="23">
        <f t="shared" si="38"/>
        <v>0</v>
      </c>
      <c r="V176" s="23">
        <f t="shared" si="39"/>
        <v>0</v>
      </c>
      <c r="W176" s="28"/>
      <c r="X176" s="20"/>
      <c r="Z176" s="32"/>
      <c r="AA176" s="29"/>
    </row>
    <row r="177" spans="1:27" ht="18.75" customHeight="1" x14ac:dyDescent="0.2">
      <c r="A177" s="20" t="s">
        <v>249</v>
      </c>
      <c r="B177" s="149" t="s">
        <v>590</v>
      </c>
      <c r="C177" s="21">
        <v>2014</v>
      </c>
      <c r="D177" s="22" t="s">
        <v>595</v>
      </c>
      <c r="E177" s="96" t="s">
        <v>592</v>
      </c>
      <c r="F177" s="21">
        <v>8</v>
      </c>
      <c r="G177" s="20">
        <v>10</v>
      </c>
      <c r="H177" s="20"/>
      <c r="I177" s="34">
        <v>94.2</v>
      </c>
      <c r="J177" s="25">
        <v>15</v>
      </c>
      <c r="K177" s="21">
        <v>9</v>
      </c>
      <c r="L177" s="26">
        <v>697.9</v>
      </c>
      <c r="M177" s="26"/>
      <c r="N177" s="36">
        <v>100</v>
      </c>
      <c r="O177" s="25">
        <v>15</v>
      </c>
      <c r="P177" s="48">
        <v>20</v>
      </c>
      <c r="Q177" s="21"/>
      <c r="R177" s="27">
        <v>0</v>
      </c>
      <c r="S177" s="20">
        <v>-1</v>
      </c>
      <c r="T177" s="23">
        <f t="shared" si="37"/>
        <v>-0.38666666666666649</v>
      </c>
      <c r="U177" s="23">
        <f t="shared" si="38"/>
        <v>-0.37582554517133937</v>
      </c>
      <c r="V177" s="23">
        <f t="shared" si="39"/>
        <v>-0.37582554517133937</v>
      </c>
      <c r="W177" s="28"/>
      <c r="X177" s="48"/>
      <c r="Y177" s="42"/>
      <c r="AA177" s="42"/>
    </row>
    <row r="178" spans="1:27" ht="18.75" customHeight="1" x14ac:dyDescent="0.2">
      <c r="A178" s="20"/>
      <c r="B178" s="20"/>
      <c r="C178" s="21"/>
      <c r="D178" s="22"/>
      <c r="E178" s="23"/>
      <c r="F178" s="20">
        <v>5</v>
      </c>
      <c r="G178" s="20">
        <v>11</v>
      </c>
      <c r="H178" s="20"/>
      <c r="J178" s="25">
        <f>AVERAGE(J166:J175)</f>
        <v>4.6620000000000008</v>
      </c>
      <c r="K178" s="37">
        <f>SUM(K175,K171,K167,K166)</f>
        <v>84</v>
      </c>
      <c r="L178" s="54">
        <f>AVERAGE(L175,L171,L167,L166)</f>
        <v>967.65666666666675</v>
      </c>
      <c r="M178" s="54"/>
      <c r="N178" s="34"/>
      <c r="O178" s="25">
        <f>AVERAGE(O166:O176)</f>
        <v>6.4118855218855222</v>
      </c>
      <c r="P178" s="37">
        <f>SUM(P175,P171,P167,P166)</f>
        <v>104</v>
      </c>
      <c r="Q178" s="20"/>
      <c r="R178" s="27"/>
      <c r="S178" s="20"/>
      <c r="T178" s="41">
        <f>AVERAGE(T166:T177)</f>
        <v>-0.21991631636121567</v>
      </c>
      <c r="U178" s="41">
        <f>AVERAGE(U166:U177)</f>
        <v>-0.21592854978297482</v>
      </c>
      <c r="V178" s="41">
        <f>AVERAGE(V166:V177)</f>
        <v>-0.2552237673403564</v>
      </c>
      <c r="W178" s="28"/>
      <c r="X178" s="20"/>
      <c r="Z178" s="32"/>
      <c r="AA178" s="29"/>
    </row>
    <row r="179" spans="1:27" ht="18.75" customHeight="1" x14ac:dyDescent="0.2">
      <c r="A179" s="20"/>
      <c r="B179" s="20"/>
      <c r="C179" s="21"/>
      <c r="D179" s="22"/>
      <c r="E179" s="23"/>
      <c r="F179" s="20"/>
      <c r="G179" s="20"/>
      <c r="H179" s="20"/>
      <c r="I179" s="34"/>
      <c r="J179" s="25"/>
      <c r="K179" s="20"/>
      <c r="L179" s="26"/>
      <c r="M179" s="26"/>
      <c r="N179" s="34"/>
      <c r="O179" s="45"/>
      <c r="P179" s="20"/>
      <c r="Q179" s="20"/>
      <c r="R179" s="27"/>
      <c r="S179" s="20">
        <v>0</v>
      </c>
      <c r="T179" s="44">
        <f>STDEV(T166:T177)</f>
        <v>0.18859918231841885</v>
      </c>
      <c r="U179" s="44">
        <f>STDEV(U166:U177)</f>
        <v>0.18499806636948984</v>
      </c>
      <c r="V179" s="44">
        <f>STDEV(V166:V177)</f>
        <v>0.2294185290684643</v>
      </c>
      <c r="W179" s="28"/>
      <c r="X179" s="20"/>
      <c r="Z179" s="32"/>
      <c r="AA179" s="29"/>
    </row>
    <row r="180" spans="1:27" ht="18.75" customHeight="1" x14ac:dyDescent="0.2">
      <c r="A180" s="20"/>
      <c r="C180" s="21"/>
      <c r="D180" s="22"/>
      <c r="E180" s="23"/>
      <c r="F180" s="20"/>
      <c r="G180" s="20"/>
      <c r="H180" s="20"/>
      <c r="I180" s="34"/>
      <c r="J180" s="45"/>
      <c r="L180" s="8"/>
      <c r="M180" s="8"/>
      <c r="O180" s="8"/>
      <c r="W180" s="21"/>
      <c r="X180" s="20"/>
      <c r="Z180" s="32"/>
      <c r="AA180" s="29"/>
    </row>
    <row r="181" spans="1:27" ht="18.75" customHeight="1" x14ac:dyDescent="0.2">
      <c r="A181" s="20" t="s">
        <v>281</v>
      </c>
      <c r="B181" s="20" t="s">
        <v>147</v>
      </c>
      <c r="C181" s="21">
        <v>1997</v>
      </c>
      <c r="D181" s="22" t="s">
        <v>282</v>
      </c>
      <c r="E181" s="20" t="s">
        <v>283</v>
      </c>
      <c r="F181" s="20">
        <v>1</v>
      </c>
      <c r="G181" s="20">
        <v>1</v>
      </c>
      <c r="H181" s="20"/>
      <c r="I181" s="34">
        <v>248</v>
      </c>
      <c r="J181" s="45">
        <v>42</v>
      </c>
      <c r="K181" s="20">
        <v>8</v>
      </c>
      <c r="L181" s="26">
        <v>870</v>
      </c>
      <c r="M181" s="26"/>
      <c r="N181" s="34">
        <v>186</v>
      </c>
      <c r="O181" s="45">
        <v>80.8</v>
      </c>
      <c r="P181" s="20">
        <v>8</v>
      </c>
      <c r="Q181" s="20"/>
      <c r="R181" s="27">
        <f t="shared" ref="R181:R188" si="40">(N181-I181)/SQRT((O181^2+J181^2)/2)</f>
        <v>-0.9628536503438887</v>
      </c>
      <c r="S181" s="20">
        <v>1</v>
      </c>
      <c r="T181" s="23">
        <f t="shared" ref="T181:T188" si="41">(N181-I181)/SQRT((((P181-1)*O181^2) + ((K181-1)*J181^2))/(P181+K181-2))*S181</f>
        <v>-0.9628536503438887</v>
      </c>
      <c r="U181" s="23">
        <f t="shared" ref="U181:U188" si="42">T181*(1-(3/(4*(K181+P181-2) -1)))</f>
        <v>-0.91033436032513115</v>
      </c>
      <c r="V181" s="23">
        <f t="shared" ref="V181:V188" si="43">((N181-I181)/O181)*S181 * (1-(3/(4*(K181+P181-2)-1)))</f>
        <v>-0.72547254725472543</v>
      </c>
      <c r="W181" s="28"/>
      <c r="X181" s="20">
        <v>4</v>
      </c>
      <c r="Y181" s="29" t="s">
        <v>81</v>
      </c>
      <c r="Z181" s="8" t="s">
        <v>151</v>
      </c>
      <c r="AA181" s="29" t="s">
        <v>81</v>
      </c>
    </row>
    <row r="182" spans="1:27" ht="18.75" customHeight="1" x14ac:dyDescent="0.2">
      <c r="A182" s="20" t="s">
        <v>281</v>
      </c>
      <c r="B182" s="20" t="s">
        <v>60</v>
      </c>
      <c r="C182" s="21">
        <v>2017</v>
      </c>
      <c r="D182" s="22" t="s">
        <v>284</v>
      </c>
      <c r="E182" s="20" t="s">
        <v>285</v>
      </c>
      <c r="F182" s="20">
        <v>2</v>
      </c>
      <c r="G182" s="20">
        <v>2</v>
      </c>
      <c r="H182" s="20"/>
      <c r="I182" s="34">
        <v>332</v>
      </c>
      <c r="J182" s="45">
        <v>52.9</v>
      </c>
      <c r="K182" s="20">
        <v>37</v>
      </c>
      <c r="L182" s="26">
        <v>720</v>
      </c>
      <c r="M182" s="26"/>
      <c r="N182" s="34">
        <v>316</v>
      </c>
      <c r="O182" s="45">
        <v>56.9</v>
      </c>
      <c r="P182" s="20">
        <v>30</v>
      </c>
      <c r="Q182" s="20"/>
      <c r="R182" s="27">
        <f t="shared" si="40"/>
        <v>-0.29124578271729507</v>
      </c>
      <c r="S182" s="20">
        <v>1</v>
      </c>
      <c r="T182" s="23">
        <f t="shared" si="41"/>
        <v>-0.29239363913630956</v>
      </c>
      <c r="U182" s="23">
        <f t="shared" si="42"/>
        <v>-0.28900684022739476</v>
      </c>
      <c r="V182" s="23">
        <f t="shared" si="43"/>
        <v>-0.27793799322797569</v>
      </c>
      <c r="W182" s="28"/>
      <c r="X182" s="20">
        <v>1</v>
      </c>
      <c r="Y182" s="29" t="s">
        <v>63</v>
      </c>
      <c r="Z182" s="8" t="s">
        <v>32</v>
      </c>
      <c r="AA182" s="29" t="s">
        <v>81</v>
      </c>
    </row>
    <row r="183" spans="1:27" ht="18.75" customHeight="1" x14ac:dyDescent="0.2">
      <c r="A183" s="20" t="s">
        <v>281</v>
      </c>
      <c r="B183" s="21" t="s">
        <v>77</v>
      </c>
      <c r="C183" s="21">
        <v>2020</v>
      </c>
      <c r="D183" s="22" t="s">
        <v>284</v>
      </c>
      <c r="E183" s="20" t="s">
        <v>285</v>
      </c>
      <c r="F183" s="21">
        <v>3</v>
      </c>
      <c r="G183" s="20">
        <v>3</v>
      </c>
      <c r="H183" s="20"/>
      <c r="I183" s="24">
        <v>325</v>
      </c>
      <c r="J183" s="25">
        <v>46</v>
      </c>
      <c r="K183" s="21">
        <v>19</v>
      </c>
      <c r="L183" s="26">
        <v>1042</v>
      </c>
      <c r="M183" s="26"/>
      <c r="N183" s="24">
        <v>315</v>
      </c>
      <c r="O183" s="25">
        <v>44.6</v>
      </c>
      <c r="P183" s="21">
        <v>19</v>
      </c>
      <c r="Q183" s="21"/>
      <c r="R183" s="27">
        <f t="shared" si="40"/>
        <v>-0.22072420108207461</v>
      </c>
      <c r="S183" s="20">
        <v>1</v>
      </c>
      <c r="T183" s="23">
        <f t="shared" si="41"/>
        <v>-0.22072420108207461</v>
      </c>
      <c r="U183" s="23">
        <f t="shared" si="42"/>
        <v>-0.21609362343699612</v>
      </c>
      <c r="V183" s="23">
        <f t="shared" si="43"/>
        <v>-0.2195114302737621</v>
      </c>
      <c r="W183" s="28"/>
      <c r="X183" s="20">
        <v>1</v>
      </c>
      <c r="Y183" s="29" t="s">
        <v>63</v>
      </c>
      <c r="Z183" s="42" t="s">
        <v>44</v>
      </c>
      <c r="AA183" s="29" t="s">
        <v>81</v>
      </c>
    </row>
    <row r="184" spans="1:27" ht="18.75" customHeight="1" x14ac:dyDescent="0.2">
      <c r="A184" s="20" t="s">
        <v>281</v>
      </c>
      <c r="B184" s="21" t="s">
        <v>286</v>
      </c>
      <c r="C184" s="21">
        <v>2011</v>
      </c>
      <c r="D184" s="22" t="s">
        <v>287</v>
      </c>
      <c r="E184" s="20" t="s">
        <v>288</v>
      </c>
      <c r="F184" s="21">
        <v>4</v>
      </c>
      <c r="G184" s="20">
        <v>4</v>
      </c>
      <c r="H184" s="20"/>
      <c r="I184" s="24">
        <v>5.56</v>
      </c>
      <c r="J184" s="25">
        <v>0.77</v>
      </c>
      <c r="K184" s="21">
        <v>56</v>
      </c>
      <c r="L184" s="26">
        <v>1461</v>
      </c>
      <c r="M184" s="26"/>
      <c r="N184" s="24">
        <v>5.92</v>
      </c>
      <c r="O184" s="25">
        <v>0.11</v>
      </c>
      <c r="P184" s="21">
        <v>56</v>
      </c>
      <c r="Q184" s="21"/>
      <c r="R184" s="27">
        <f t="shared" si="40"/>
        <v>0.6545454545454551</v>
      </c>
      <c r="S184" s="20">
        <v>-1</v>
      </c>
      <c r="T184" s="23">
        <f t="shared" si="41"/>
        <v>-0.6545454545454551</v>
      </c>
      <c r="U184" s="23">
        <f t="shared" si="42"/>
        <v>-0.65007247877407381</v>
      </c>
      <c r="V184" s="23">
        <f t="shared" si="43"/>
        <v>-3.2503623938703696</v>
      </c>
      <c r="W184" s="28"/>
      <c r="X184" s="48" t="s">
        <v>75</v>
      </c>
      <c r="Y184" s="29" t="s">
        <v>289</v>
      </c>
      <c r="Z184" s="8" t="s">
        <v>290</v>
      </c>
      <c r="AA184" s="29" t="s">
        <v>81</v>
      </c>
    </row>
    <row r="185" spans="1:27" ht="18.75" customHeight="1" x14ac:dyDescent="0.2">
      <c r="A185" s="20" t="s">
        <v>281</v>
      </c>
      <c r="B185" s="21" t="s">
        <v>291</v>
      </c>
      <c r="C185" s="21">
        <v>2011</v>
      </c>
      <c r="D185" s="22" t="s">
        <v>287</v>
      </c>
      <c r="E185" s="20" t="s">
        <v>288</v>
      </c>
      <c r="F185" s="21">
        <v>5</v>
      </c>
      <c r="G185" s="20">
        <v>5</v>
      </c>
      <c r="H185" s="20"/>
      <c r="I185" s="24">
        <v>6</v>
      </c>
      <c r="J185" s="25">
        <v>0.92</v>
      </c>
      <c r="K185" s="21">
        <v>21</v>
      </c>
      <c r="L185" s="26">
        <v>640</v>
      </c>
      <c r="M185" s="26"/>
      <c r="N185" s="24">
        <v>5.94</v>
      </c>
      <c r="O185" s="25">
        <v>0.18</v>
      </c>
      <c r="P185" s="21">
        <v>21</v>
      </c>
      <c r="Q185" s="21"/>
      <c r="R185" s="27">
        <f t="shared" si="40"/>
        <v>-9.0515139294545882E-2</v>
      </c>
      <c r="S185" s="20">
        <v>-1</v>
      </c>
      <c r="T185" s="23">
        <f t="shared" si="41"/>
        <v>9.0515139294545882E-2</v>
      </c>
      <c r="U185" s="23">
        <f t="shared" si="42"/>
        <v>8.8807306477667658E-2</v>
      </c>
      <c r="V185" s="23">
        <f t="shared" si="43"/>
        <v>0.32704402515723058</v>
      </c>
      <c r="W185" s="28"/>
      <c r="X185" s="48" t="s">
        <v>75</v>
      </c>
      <c r="Y185" s="29" t="s">
        <v>289</v>
      </c>
      <c r="Z185" s="8" t="s">
        <v>290</v>
      </c>
      <c r="AA185" s="29" t="s">
        <v>48</v>
      </c>
    </row>
    <row r="186" spans="1:27" ht="18.75" customHeight="1" x14ac:dyDescent="0.2">
      <c r="A186" s="20" t="s">
        <v>281</v>
      </c>
      <c r="B186" s="100" t="s">
        <v>520</v>
      </c>
      <c r="C186" s="100">
        <v>2020</v>
      </c>
      <c r="D186" s="101" t="s">
        <v>287</v>
      </c>
      <c r="E186" s="20"/>
      <c r="F186" s="21">
        <v>6</v>
      </c>
      <c r="G186" s="20">
        <v>6</v>
      </c>
      <c r="H186" s="20"/>
      <c r="I186" s="27">
        <v>5.29</v>
      </c>
      <c r="J186" s="49">
        <v>0.99</v>
      </c>
      <c r="K186" s="21">
        <v>9</v>
      </c>
      <c r="L186" s="26"/>
      <c r="M186" s="26"/>
      <c r="N186" s="27">
        <v>5.65</v>
      </c>
      <c r="O186" s="49">
        <v>1.05</v>
      </c>
      <c r="P186" s="21">
        <v>75</v>
      </c>
      <c r="Q186" s="21"/>
      <c r="R186" s="27">
        <f t="shared" si="40"/>
        <v>0.3527886192227131</v>
      </c>
      <c r="S186" s="20">
        <v>-1</v>
      </c>
      <c r="T186" s="95">
        <f t="shared" si="41"/>
        <v>-0.34472915112755559</v>
      </c>
      <c r="U186" s="95">
        <f t="shared" si="42"/>
        <v>-0.34156649836491748</v>
      </c>
      <c r="V186" s="95">
        <f t="shared" si="43"/>
        <v>-0.339711664482307</v>
      </c>
      <c r="W186" s="28"/>
      <c r="X186" s="48"/>
      <c r="AA186" s="29"/>
    </row>
    <row r="187" spans="1:27" ht="18.75" customHeight="1" x14ac:dyDescent="0.2">
      <c r="A187" s="20" t="s">
        <v>281</v>
      </c>
      <c r="B187" s="100" t="s">
        <v>521</v>
      </c>
      <c r="C187" s="100">
        <v>2020</v>
      </c>
      <c r="D187" s="101" t="s">
        <v>287</v>
      </c>
      <c r="E187" s="20"/>
      <c r="F187" s="21">
        <v>6</v>
      </c>
      <c r="G187" s="20">
        <v>7</v>
      </c>
      <c r="H187" s="20"/>
      <c r="I187" s="27">
        <v>5.75</v>
      </c>
      <c r="J187" s="49">
        <v>1.05</v>
      </c>
      <c r="K187" s="21">
        <v>10</v>
      </c>
      <c r="L187" s="26"/>
      <c r="M187" s="26"/>
      <c r="N187" s="27">
        <v>5.65</v>
      </c>
      <c r="O187" s="49">
        <v>1.05</v>
      </c>
      <c r="P187" s="21">
        <v>75</v>
      </c>
      <c r="Q187" s="21"/>
      <c r="R187" s="27">
        <f t="shared" si="40"/>
        <v>-9.52380952380949E-2</v>
      </c>
      <c r="S187" s="20">
        <v>-1</v>
      </c>
      <c r="T187" s="95">
        <f t="shared" si="41"/>
        <v>9.52380952380949E-2</v>
      </c>
      <c r="U187" s="95">
        <f t="shared" si="42"/>
        <v>9.437491008487954E-2</v>
      </c>
      <c r="V187" s="95">
        <f t="shared" si="43"/>
        <v>9.437491008487954E-2</v>
      </c>
      <c r="W187" s="28"/>
      <c r="X187" s="48"/>
      <c r="AA187" s="29"/>
    </row>
    <row r="188" spans="1:27" ht="18.75" customHeight="1" x14ac:dyDescent="0.2">
      <c r="A188" s="20" t="s">
        <v>281</v>
      </c>
      <c r="B188" s="104" t="s">
        <v>567</v>
      </c>
      <c r="C188" s="104">
        <v>1997</v>
      </c>
      <c r="D188" s="105" t="s">
        <v>284</v>
      </c>
      <c r="E188" s="20"/>
      <c r="F188" s="21">
        <v>7</v>
      </c>
      <c r="G188" s="20">
        <v>8</v>
      </c>
      <c r="H188" s="20"/>
      <c r="I188" s="27">
        <v>24.9</v>
      </c>
      <c r="J188" s="49">
        <v>2.2000000000000002</v>
      </c>
      <c r="K188" s="21">
        <v>7</v>
      </c>
      <c r="L188" s="26">
        <v>1051</v>
      </c>
      <c r="M188" s="26"/>
      <c r="N188" s="27">
        <v>26.4</v>
      </c>
      <c r="O188" s="49">
        <v>3.6</v>
      </c>
      <c r="P188" s="21">
        <v>14</v>
      </c>
      <c r="Q188" s="21"/>
      <c r="R188" s="27">
        <f t="shared" si="40"/>
        <v>0.50280114236549323</v>
      </c>
      <c r="S188" s="20">
        <v>1</v>
      </c>
      <c r="T188" s="106">
        <f t="shared" si="41"/>
        <v>0.46522443923104162</v>
      </c>
      <c r="U188" s="106">
        <f t="shared" si="42"/>
        <v>0.44661546166179994</v>
      </c>
      <c r="V188" s="106">
        <f t="shared" si="43"/>
        <v>0.39999999999999997</v>
      </c>
      <c r="W188" s="28"/>
      <c r="X188" s="48"/>
      <c r="AA188" s="29"/>
    </row>
    <row r="189" spans="1:27" ht="18.75" customHeight="1" x14ac:dyDescent="0.2">
      <c r="A189" s="21"/>
      <c r="C189" s="21"/>
      <c r="E189" s="20"/>
      <c r="F189" s="21">
        <v>7</v>
      </c>
      <c r="G189" s="21">
        <v>8</v>
      </c>
      <c r="H189" s="21"/>
      <c r="I189" s="24"/>
      <c r="J189" s="25">
        <f>AVERAGE(J181:J186)</f>
        <v>23.930000000000003</v>
      </c>
      <c r="K189" s="37">
        <f>SUM(K183,K182,K181)</f>
        <v>64</v>
      </c>
      <c r="L189" s="54">
        <f>AVERAGE(L183,L182,L181)</f>
        <v>877.33333333333337</v>
      </c>
      <c r="M189" s="54"/>
      <c r="N189" s="34"/>
      <c r="O189" s="25">
        <f>AVERAGE(O181:O185)</f>
        <v>36.518000000000001</v>
      </c>
      <c r="P189" s="37">
        <f>SUM(P183,P182,P181)</f>
        <v>57</v>
      </c>
      <c r="Q189" s="21"/>
      <c r="R189" s="21"/>
      <c r="S189" s="21"/>
      <c r="T189" s="41">
        <f>AVERAGE(T181:T188)</f>
        <v>-0.22803355280895013</v>
      </c>
      <c r="U189" s="41">
        <f>AVERAGE(U181:U188)</f>
        <v>-0.22215951536302075</v>
      </c>
      <c r="V189" s="41">
        <f>AVERAGE(V181:W188)</f>
        <v>-0.4989471367333787</v>
      </c>
      <c r="W189" s="28"/>
      <c r="X189" s="20"/>
      <c r="Y189" s="29" t="s">
        <v>63</v>
      </c>
      <c r="AA189" s="29"/>
    </row>
    <row r="190" spans="1:27" ht="18.75" customHeight="1" x14ac:dyDescent="0.2">
      <c r="A190" s="20"/>
      <c r="B190" s="20"/>
      <c r="C190" s="21"/>
      <c r="D190" s="22"/>
      <c r="E190" s="20"/>
      <c r="F190" s="20"/>
      <c r="G190" s="20"/>
      <c r="H190" s="20"/>
      <c r="I190" s="34"/>
      <c r="J190" s="45"/>
      <c r="K190" s="20"/>
      <c r="L190" s="26"/>
      <c r="M190" s="26"/>
      <c r="N190" s="34"/>
      <c r="O190" s="45"/>
      <c r="P190" s="20"/>
      <c r="Q190" s="20"/>
      <c r="R190" s="27"/>
      <c r="S190" s="20"/>
      <c r="T190" s="44">
        <f>STDEV(T181:T187)</f>
        <v>0.38231885117992864</v>
      </c>
      <c r="U190" s="44">
        <f>STDEV(U181:U187)</f>
        <v>0.3670734790964143</v>
      </c>
      <c r="V190" s="44">
        <f>STDEV(V181:V187)</f>
        <v>1.2036564925921076</v>
      </c>
      <c r="W190" s="21"/>
      <c r="X190" s="20"/>
      <c r="AA190" s="29"/>
    </row>
    <row r="191" spans="1:27" ht="18.75" customHeight="1" x14ac:dyDescent="0.2">
      <c r="A191" s="20" t="s">
        <v>292</v>
      </c>
      <c r="B191" s="20" t="s">
        <v>159</v>
      </c>
      <c r="C191" s="21">
        <v>2017</v>
      </c>
      <c r="D191" s="22" t="s">
        <v>293</v>
      </c>
      <c r="E191" s="20" t="s">
        <v>294</v>
      </c>
      <c r="F191" s="20">
        <v>1</v>
      </c>
      <c r="G191" s="20">
        <v>1</v>
      </c>
      <c r="H191" s="20"/>
      <c r="I191" s="34">
        <v>605</v>
      </c>
      <c r="J191" s="45">
        <v>146</v>
      </c>
      <c r="K191" s="20">
        <v>57</v>
      </c>
      <c r="L191" s="26">
        <v>655</v>
      </c>
      <c r="M191" s="26"/>
      <c r="N191" s="34">
        <v>549</v>
      </c>
      <c r="O191" s="45">
        <v>80</v>
      </c>
      <c r="P191" s="20">
        <v>57</v>
      </c>
      <c r="Q191" s="20"/>
      <c r="R191" s="27">
        <f t="shared" ref="R191:R200" si="44">(N191-I191)/SQRT((O191^2+J191^2)/2)</f>
        <v>-0.47570503539933895</v>
      </c>
      <c r="S191" s="20">
        <v>1</v>
      </c>
      <c r="T191" s="23">
        <f t="shared" ref="T191:T200" si="45">(N191-I191)/SQRT((((P191-1)*O191^2) + ((K191-1)*J191^2))/(P191+K191-2))*S191</f>
        <v>-0.47570503539933895</v>
      </c>
      <c r="U191" s="23">
        <f t="shared" ref="U191:U200" si="46">T191*(1-(3/(4*(K191+P191-2) -1)))</f>
        <v>-0.47251238415504809</v>
      </c>
      <c r="V191" s="23">
        <f t="shared" ref="V191:V200" si="47">((N191-I191)/O191)*S191 * (1-(3/(4*(K191+P191-2)-1)))</f>
        <v>-0.69530201342281872</v>
      </c>
      <c r="W191" s="28"/>
      <c r="X191" s="20">
        <v>1</v>
      </c>
      <c r="Y191" s="29" t="s">
        <v>63</v>
      </c>
      <c r="Z191" s="8" t="s">
        <v>44</v>
      </c>
      <c r="AA191" s="29" t="s">
        <v>48</v>
      </c>
    </row>
    <row r="192" spans="1:27" ht="18.75" customHeight="1" x14ac:dyDescent="0.2">
      <c r="A192" s="20" t="s">
        <v>292</v>
      </c>
      <c r="B192" s="20" t="s">
        <v>159</v>
      </c>
      <c r="C192" s="21">
        <v>2017</v>
      </c>
      <c r="D192" s="22" t="s">
        <v>295</v>
      </c>
      <c r="E192" s="20" t="s">
        <v>296</v>
      </c>
      <c r="F192" s="20">
        <v>1</v>
      </c>
      <c r="G192" s="20">
        <v>2</v>
      </c>
      <c r="H192" s="20"/>
      <c r="I192" s="34">
        <v>2144</v>
      </c>
      <c r="J192" s="45">
        <v>570</v>
      </c>
      <c r="K192" s="20">
        <v>57</v>
      </c>
      <c r="L192" s="26">
        <v>655</v>
      </c>
      <c r="M192" s="26"/>
      <c r="N192" s="34">
        <v>1875</v>
      </c>
      <c r="O192" s="45">
        <v>418</v>
      </c>
      <c r="P192" s="20">
        <v>57</v>
      </c>
      <c r="Q192" s="20"/>
      <c r="R192" s="27">
        <f t="shared" si="44"/>
        <v>-0.53820240216197568</v>
      </c>
      <c r="S192" s="20">
        <v>1</v>
      </c>
      <c r="T192" s="23">
        <f t="shared" si="45"/>
        <v>-0.53820240216197568</v>
      </c>
      <c r="U192" s="23">
        <f t="shared" si="46"/>
        <v>-0.53459030550317044</v>
      </c>
      <c r="V192" s="23">
        <f t="shared" si="47"/>
        <v>-0.63922160495809377</v>
      </c>
      <c r="W192" s="28"/>
      <c r="X192" s="20">
        <v>1</v>
      </c>
      <c r="Y192" s="29" t="s">
        <v>63</v>
      </c>
      <c r="Z192" s="8" t="s">
        <v>44</v>
      </c>
      <c r="AA192" s="29" t="s">
        <v>48</v>
      </c>
    </row>
    <row r="193" spans="1:27" ht="18.75" customHeight="1" x14ac:dyDescent="0.2">
      <c r="A193" s="20" t="s">
        <v>292</v>
      </c>
      <c r="B193" s="20" t="s">
        <v>60</v>
      </c>
      <c r="C193" s="21">
        <v>2017</v>
      </c>
      <c r="D193" s="22" t="s">
        <v>297</v>
      </c>
      <c r="E193" s="20" t="s">
        <v>298</v>
      </c>
      <c r="F193" s="20">
        <v>2</v>
      </c>
      <c r="G193" s="20">
        <v>3</v>
      </c>
      <c r="H193" s="20"/>
      <c r="I193" s="34">
        <v>307</v>
      </c>
      <c r="J193" s="45">
        <v>42</v>
      </c>
      <c r="K193" s="20">
        <v>37</v>
      </c>
      <c r="L193" s="26">
        <v>720</v>
      </c>
      <c r="M193" s="26"/>
      <c r="N193" s="34">
        <v>281</v>
      </c>
      <c r="O193" s="45">
        <v>31.3</v>
      </c>
      <c r="P193" s="20">
        <v>30</v>
      </c>
      <c r="Q193" s="20"/>
      <c r="R193" s="27">
        <f t="shared" si="44"/>
        <v>-0.70197367472588612</v>
      </c>
      <c r="S193" s="20">
        <v>1</v>
      </c>
      <c r="T193" s="23">
        <f t="shared" si="45"/>
        <v>-0.69141183141224827</v>
      </c>
      <c r="U193" s="23">
        <f t="shared" si="46"/>
        <v>-0.68340320016036893</v>
      </c>
      <c r="V193" s="23">
        <f t="shared" si="47"/>
        <v>-0.82104925555404795</v>
      </c>
      <c r="W193" s="28"/>
      <c r="X193" s="20">
        <v>1</v>
      </c>
      <c r="Y193" s="29" t="s">
        <v>63</v>
      </c>
      <c r="Z193" s="8" t="s">
        <v>32</v>
      </c>
      <c r="AA193" s="29" t="s">
        <v>48</v>
      </c>
    </row>
    <row r="194" spans="1:27" ht="18.75" customHeight="1" x14ac:dyDescent="0.2">
      <c r="A194" s="20" t="s">
        <v>292</v>
      </c>
      <c r="B194" s="20" t="s">
        <v>60</v>
      </c>
      <c r="C194" s="21">
        <v>2017</v>
      </c>
      <c r="D194" s="22" t="s">
        <v>299</v>
      </c>
      <c r="E194" s="20" t="s">
        <v>300</v>
      </c>
      <c r="F194" s="20">
        <v>2</v>
      </c>
      <c r="G194" s="20">
        <v>4</v>
      </c>
      <c r="H194" s="20"/>
      <c r="I194" s="34">
        <v>438</v>
      </c>
      <c r="J194" s="45">
        <v>70.599999999999994</v>
      </c>
      <c r="K194" s="20">
        <v>37</v>
      </c>
      <c r="L194" s="26">
        <v>720</v>
      </c>
      <c r="M194" s="26"/>
      <c r="N194" s="34">
        <v>407</v>
      </c>
      <c r="O194" s="45">
        <v>72.2</v>
      </c>
      <c r="P194" s="20">
        <v>30</v>
      </c>
      <c r="Q194" s="20"/>
      <c r="R194" s="27">
        <f t="shared" si="44"/>
        <v>-0.43414641886282429</v>
      </c>
      <c r="S194" s="20">
        <v>1</v>
      </c>
      <c r="T194" s="23">
        <f t="shared" si="45"/>
        <v>-0.43467115985094928</v>
      </c>
      <c r="U194" s="23">
        <f t="shared" si="46"/>
        <v>-0.42963635877159467</v>
      </c>
      <c r="V194" s="23">
        <f t="shared" si="47"/>
        <v>-0.42438956566380392</v>
      </c>
      <c r="W194" s="28"/>
      <c r="X194" s="20">
        <v>1</v>
      </c>
      <c r="Y194" s="29" t="s">
        <v>63</v>
      </c>
      <c r="Z194" s="8" t="s">
        <v>32</v>
      </c>
      <c r="AA194" s="29" t="s">
        <v>48</v>
      </c>
    </row>
    <row r="195" spans="1:27" ht="18.75" customHeight="1" x14ac:dyDescent="0.2">
      <c r="A195" s="20" t="s">
        <v>292</v>
      </c>
      <c r="B195" s="20" t="s">
        <v>60</v>
      </c>
      <c r="C195" s="21">
        <v>2017</v>
      </c>
      <c r="D195" s="22" t="s">
        <v>301</v>
      </c>
      <c r="E195" s="20" t="s">
        <v>301</v>
      </c>
      <c r="F195" s="20">
        <v>2</v>
      </c>
      <c r="G195" s="20">
        <v>5</v>
      </c>
      <c r="H195" s="20"/>
      <c r="I195" s="34">
        <v>606</v>
      </c>
      <c r="J195" s="45">
        <v>167.6</v>
      </c>
      <c r="K195" s="20">
        <v>37</v>
      </c>
      <c r="L195" s="26">
        <v>720</v>
      </c>
      <c r="M195" s="26"/>
      <c r="N195" s="34">
        <v>498</v>
      </c>
      <c r="O195" s="45">
        <v>71.7</v>
      </c>
      <c r="P195" s="20">
        <v>30</v>
      </c>
      <c r="Q195" s="20"/>
      <c r="R195" s="27">
        <f t="shared" si="44"/>
        <v>-0.83785590572546365</v>
      </c>
      <c r="S195" s="20">
        <v>1</v>
      </c>
      <c r="T195" s="23">
        <f t="shared" si="45"/>
        <v>-0.80833628560573023</v>
      </c>
      <c r="U195" s="23">
        <f t="shared" si="46"/>
        <v>-0.79897331704659047</v>
      </c>
      <c r="V195" s="23">
        <f t="shared" si="47"/>
        <v>-1.4888289365276812</v>
      </c>
      <c r="W195" s="28"/>
      <c r="X195" s="20">
        <v>1</v>
      </c>
      <c r="Y195" s="29" t="s">
        <v>63</v>
      </c>
      <c r="Z195" s="8" t="s">
        <v>32</v>
      </c>
      <c r="AA195" s="29" t="s">
        <v>48</v>
      </c>
    </row>
    <row r="196" spans="1:27" ht="18.75" customHeight="1" x14ac:dyDescent="0.2">
      <c r="A196" s="20" t="s">
        <v>292</v>
      </c>
      <c r="B196" s="20" t="s">
        <v>60</v>
      </c>
      <c r="C196" s="21">
        <v>2017</v>
      </c>
      <c r="D196" s="22" t="s">
        <v>302</v>
      </c>
      <c r="E196" s="20" t="s">
        <v>302</v>
      </c>
      <c r="F196" s="20">
        <v>2</v>
      </c>
      <c r="G196" s="20">
        <v>6</v>
      </c>
      <c r="H196" s="20"/>
      <c r="I196" s="34">
        <v>1008</v>
      </c>
      <c r="J196" s="45">
        <v>239.7</v>
      </c>
      <c r="K196" s="20">
        <v>37</v>
      </c>
      <c r="L196" s="26">
        <v>720</v>
      </c>
      <c r="M196" s="26"/>
      <c r="N196" s="34">
        <v>841</v>
      </c>
      <c r="O196" s="45">
        <v>126.3</v>
      </c>
      <c r="P196" s="20">
        <v>30</v>
      </c>
      <c r="Q196" s="20"/>
      <c r="R196" s="27">
        <f t="shared" si="44"/>
        <v>-0.87168670832676065</v>
      </c>
      <c r="S196" s="20">
        <v>1</v>
      </c>
      <c r="T196" s="23">
        <f t="shared" si="45"/>
        <v>-0.84630228046477529</v>
      </c>
      <c r="U196" s="23">
        <f t="shared" si="46"/>
        <v>-0.83649955134742271</v>
      </c>
      <c r="V196" s="23">
        <f t="shared" si="47"/>
        <v>-1.306932993393801</v>
      </c>
      <c r="W196" s="28"/>
      <c r="X196" s="20">
        <v>1</v>
      </c>
      <c r="Y196" s="29" t="s">
        <v>63</v>
      </c>
      <c r="Z196" s="8" t="s">
        <v>32</v>
      </c>
      <c r="AA196" s="29" t="s">
        <v>48</v>
      </c>
    </row>
    <row r="197" spans="1:27" ht="18.75" customHeight="1" x14ac:dyDescent="0.2">
      <c r="A197" s="20" t="s">
        <v>292</v>
      </c>
      <c r="B197" s="20" t="s">
        <v>72</v>
      </c>
      <c r="C197" s="21">
        <v>1994</v>
      </c>
      <c r="D197" s="22" t="s">
        <v>303</v>
      </c>
      <c r="E197" s="20" t="s">
        <v>304</v>
      </c>
      <c r="F197" s="20">
        <v>3</v>
      </c>
      <c r="G197" s="20">
        <v>7</v>
      </c>
      <c r="H197" s="20"/>
      <c r="I197" s="34">
        <v>461</v>
      </c>
      <c r="J197" s="45">
        <v>132</v>
      </c>
      <c r="K197" s="20">
        <v>25</v>
      </c>
      <c r="L197" s="26">
        <v>1945</v>
      </c>
      <c r="M197" s="26"/>
      <c r="N197" s="34">
        <v>395</v>
      </c>
      <c r="O197" s="45">
        <v>48</v>
      </c>
      <c r="P197" s="20">
        <v>15</v>
      </c>
      <c r="Q197" s="20"/>
      <c r="R197" s="27">
        <f t="shared" si="44"/>
        <v>-0.66453430266319469</v>
      </c>
      <c r="S197" s="20">
        <v>1</v>
      </c>
      <c r="T197" s="23">
        <f t="shared" si="45"/>
        <v>-0.60620723542054067</v>
      </c>
      <c r="U197" s="23">
        <f t="shared" si="46"/>
        <v>-0.59416338306119221</v>
      </c>
      <c r="V197" s="23">
        <f t="shared" si="47"/>
        <v>-1.3476821192052981</v>
      </c>
      <c r="W197" s="28"/>
      <c r="X197" s="20">
        <v>2</v>
      </c>
      <c r="Y197" s="29" t="s">
        <v>31</v>
      </c>
      <c r="Z197" s="8" t="s">
        <v>32</v>
      </c>
      <c r="AA197" s="29" t="s">
        <v>31</v>
      </c>
    </row>
    <row r="198" spans="1:27" ht="18.75" customHeight="1" x14ac:dyDescent="0.2">
      <c r="A198" s="20" t="s">
        <v>292</v>
      </c>
      <c r="B198" s="21" t="s">
        <v>77</v>
      </c>
      <c r="C198" s="21">
        <v>2020</v>
      </c>
      <c r="D198" s="22" t="s">
        <v>299</v>
      </c>
      <c r="E198" s="20" t="s">
        <v>300</v>
      </c>
      <c r="F198" s="21">
        <v>4</v>
      </c>
      <c r="G198" s="20">
        <v>8</v>
      </c>
      <c r="H198" s="20"/>
      <c r="I198" s="24">
        <v>483</v>
      </c>
      <c r="J198" s="25">
        <v>104</v>
      </c>
      <c r="K198" s="21">
        <v>19</v>
      </c>
      <c r="L198" s="26">
        <v>1042</v>
      </c>
      <c r="M198" s="26"/>
      <c r="N198" s="24">
        <v>430</v>
      </c>
      <c r="O198" s="25">
        <v>58</v>
      </c>
      <c r="P198" s="21">
        <v>19</v>
      </c>
      <c r="Q198" s="21"/>
      <c r="R198" s="27">
        <f t="shared" si="44"/>
        <v>-0.62943770101896013</v>
      </c>
      <c r="S198" s="20">
        <v>1</v>
      </c>
      <c r="T198" s="23">
        <f>(N198-I198)/SQRT((((P198-1)*O198^2) + ((K198-1)*J198^2))/(P198+K198-2))*S198</f>
        <v>-0.62943770101896013</v>
      </c>
      <c r="U198" s="23">
        <f t="shared" si="46"/>
        <v>-0.6162327142842966</v>
      </c>
      <c r="V198" s="23">
        <f t="shared" si="47"/>
        <v>-0.89462261876054994</v>
      </c>
      <c r="W198" s="28"/>
      <c r="X198" s="20">
        <v>1</v>
      </c>
      <c r="Y198" s="29" t="s">
        <v>63</v>
      </c>
      <c r="Z198" s="8" t="s">
        <v>44</v>
      </c>
      <c r="AA198" s="29" t="s">
        <v>48</v>
      </c>
    </row>
    <row r="199" spans="1:27" ht="18.75" customHeight="1" x14ac:dyDescent="0.2">
      <c r="A199" s="20" t="s">
        <v>292</v>
      </c>
      <c r="B199" s="21" t="s">
        <v>77</v>
      </c>
      <c r="C199" s="21">
        <v>2020</v>
      </c>
      <c r="D199" s="22" t="s">
        <v>301</v>
      </c>
      <c r="E199" s="20" t="s">
        <v>301</v>
      </c>
      <c r="F199" s="21">
        <v>4</v>
      </c>
      <c r="G199" s="20">
        <v>9</v>
      </c>
      <c r="H199" s="20"/>
      <c r="I199" s="24">
        <v>752</v>
      </c>
      <c r="J199" s="25">
        <v>262</v>
      </c>
      <c r="K199" s="21">
        <v>19</v>
      </c>
      <c r="L199" s="26">
        <v>1042</v>
      </c>
      <c r="M199" s="26"/>
      <c r="N199" s="24">
        <v>586</v>
      </c>
      <c r="O199" s="25">
        <v>113</v>
      </c>
      <c r="P199" s="21">
        <v>19</v>
      </c>
      <c r="Q199" s="21"/>
      <c r="R199" s="27">
        <f t="shared" si="44"/>
        <v>-0.82276575383526052</v>
      </c>
      <c r="S199" s="20">
        <v>1</v>
      </c>
      <c r="T199" s="23">
        <f t="shared" si="45"/>
        <v>-0.82276575383526052</v>
      </c>
      <c r="U199" s="23">
        <f t="shared" si="46"/>
        <v>-0.80550493382473065</v>
      </c>
      <c r="V199" s="23">
        <f t="shared" si="47"/>
        <v>-1.4382078098892259</v>
      </c>
      <c r="W199" s="28"/>
      <c r="X199" s="20">
        <v>1</v>
      </c>
      <c r="Y199" s="29" t="s">
        <v>63</v>
      </c>
      <c r="Z199" s="8" t="s">
        <v>44</v>
      </c>
      <c r="AA199" s="29" t="s">
        <v>48</v>
      </c>
    </row>
    <row r="200" spans="1:27" ht="18.75" customHeight="1" x14ac:dyDescent="0.2">
      <c r="A200" s="20" t="s">
        <v>292</v>
      </c>
      <c r="B200" s="21" t="s">
        <v>77</v>
      </c>
      <c r="C200" s="21">
        <v>2020</v>
      </c>
      <c r="D200" s="22" t="s">
        <v>302</v>
      </c>
      <c r="E200" s="20" t="s">
        <v>302</v>
      </c>
      <c r="F200" s="21">
        <v>4</v>
      </c>
      <c r="G200" s="20">
        <v>10</v>
      </c>
      <c r="H200" s="20"/>
      <c r="I200" s="24">
        <v>1152</v>
      </c>
      <c r="J200" s="25">
        <v>237</v>
      </c>
      <c r="K200" s="21">
        <v>19</v>
      </c>
      <c r="L200" s="26">
        <v>1042</v>
      </c>
      <c r="M200" s="26"/>
      <c r="N200" s="24">
        <v>938</v>
      </c>
      <c r="O200" s="25">
        <v>203</v>
      </c>
      <c r="P200" s="21">
        <v>19</v>
      </c>
      <c r="Q200" s="21"/>
      <c r="R200" s="27">
        <f t="shared" si="44"/>
        <v>-0.9698361004090521</v>
      </c>
      <c r="S200" s="20">
        <v>1</v>
      </c>
      <c r="T200" s="23">
        <f t="shared" si="45"/>
        <v>-0.9698361004090521</v>
      </c>
      <c r="U200" s="23">
        <f t="shared" si="46"/>
        <v>-0.94948988851235872</v>
      </c>
      <c r="V200" s="23">
        <f t="shared" si="47"/>
        <v>-1.0320713768989631</v>
      </c>
      <c r="W200" s="28"/>
      <c r="X200" s="20">
        <v>1</v>
      </c>
      <c r="Y200" s="29" t="s">
        <v>63</v>
      </c>
      <c r="Z200" s="8" t="s">
        <v>44</v>
      </c>
      <c r="AA200" s="29" t="s">
        <v>48</v>
      </c>
    </row>
    <row r="201" spans="1:27" ht="18.75" customHeight="1" x14ac:dyDescent="0.2">
      <c r="A201" s="20"/>
      <c r="B201" s="20"/>
      <c r="C201" s="21"/>
      <c r="D201" s="22"/>
      <c r="E201" s="20"/>
      <c r="F201" s="20">
        <v>4</v>
      </c>
      <c r="G201" s="20">
        <v>10</v>
      </c>
      <c r="H201" s="20"/>
      <c r="I201" s="34"/>
      <c r="J201" s="25">
        <f>AVERAGE(J191:J200)</f>
        <v>197.09</v>
      </c>
      <c r="K201" s="37">
        <f>SUM(K197,K196,K192,K198)</f>
        <v>138</v>
      </c>
      <c r="L201" s="54">
        <f>AVERAGE(L197,L196,L192,L198)</f>
        <v>1090.5</v>
      </c>
      <c r="M201" s="54"/>
      <c r="N201" s="34"/>
      <c r="O201" s="25">
        <f>AVERAGE(O191:O200)</f>
        <v>122.15</v>
      </c>
      <c r="P201" s="37">
        <f>SUM(P197,P196,P192,P198)</f>
        <v>121</v>
      </c>
      <c r="Q201" s="20"/>
      <c r="R201" s="27"/>
      <c r="S201" s="20"/>
      <c r="T201" s="41">
        <f>AVERAGE(T191:T200)</f>
        <v>-0.68228757855788302</v>
      </c>
      <c r="U201" s="41">
        <f>AVERAGE(U191:U200)</f>
        <v>-0.67210060366667734</v>
      </c>
      <c r="V201" s="41">
        <f>AVERAGE(V191:V200)</f>
        <v>-1.0088308294274284</v>
      </c>
      <c r="W201" s="28"/>
      <c r="X201" s="20"/>
    </row>
    <row r="202" spans="1:27" ht="18.75" customHeight="1" x14ac:dyDescent="0.2">
      <c r="A202" s="20"/>
      <c r="B202" s="20"/>
      <c r="C202" s="21"/>
      <c r="D202" s="22"/>
      <c r="E202" s="20"/>
      <c r="F202" s="20"/>
      <c r="G202" s="20"/>
      <c r="H202" s="20"/>
      <c r="I202" s="34"/>
      <c r="J202" s="45"/>
      <c r="K202" s="20"/>
      <c r="L202" s="26"/>
      <c r="M202" s="26"/>
      <c r="N202" s="34"/>
      <c r="O202" s="45"/>
      <c r="P202" s="20"/>
      <c r="Q202" s="20"/>
      <c r="R202" s="27"/>
      <c r="S202" s="20"/>
      <c r="T202" s="44">
        <f>STDEV(T191:T200)</f>
        <v>0.17594908521885311</v>
      </c>
      <c r="U202" s="44">
        <f>STDEV(U191:U200)</f>
        <v>0.17150376078794108</v>
      </c>
      <c r="V202" s="44">
        <f>STDEV(V191:V200)</f>
        <v>0.37174906663567292</v>
      </c>
      <c r="W202" s="28"/>
      <c r="X202" s="20"/>
    </row>
    <row r="203" spans="1:27" ht="18.75" customHeight="1" x14ac:dyDescent="0.2">
      <c r="A203" s="20" t="s">
        <v>305</v>
      </c>
      <c r="B203" s="20" t="s">
        <v>159</v>
      </c>
      <c r="C203" s="21">
        <v>2017</v>
      </c>
      <c r="D203" s="22" t="s">
        <v>306</v>
      </c>
      <c r="E203" s="20" t="s">
        <v>307</v>
      </c>
      <c r="F203" s="20">
        <v>1</v>
      </c>
      <c r="G203" s="20">
        <v>1</v>
      </c>
      <c r="H203" s="20"/>
      <c r="I203" s="34">
        <v>1.7</v>
      </c>
      <c r="J203" s="45">
        <v>2.4</v>
      </c>
      <c r="K203" s="20">
        <v>57</v>
      </c>
      <c r="L203" s="26">
        <v>655</v>
      </c>
      <c r="M203" s="26"/>
      <c r="N203" s="34">
        <v>1.7</v>
      </c>
      <c r="O203" s="45">
        <v>2.2000000000000002</v>
      </c>
      <c r="P203" s="20">
        <v>57</v>
      </c>
      <c r="Q203" s="20"/>
      <c r="R203" s="27">
        <f t="shared" ref="R203:R211" si="48">(N203-I203)/SQRT((O203^2+J203^2)/2)</f>
        <v>0</v>
      </c>
      <c r="S203" s="20">
        <v>1</v>
      </c>
      <c r="T203" s="23">
        <f t="shared" ref="T203:T211" si="49">(N203-I203)/SQRT((((P203-1)*O203^2) + ((K203-1)*J203^2))/(P203+K203-2))*S203</f>
        <v>0</v>
      </c>
      <c r="U203" s="23">
        <f t="shared" ref="U203:U211" si="50">T203*(1-(3/(4*(K203+P203-2) -1)))</f>
        <v>0</v>
      </c>
      <c r="V203" s="23">
        <f t="shared" ref="V203:V211" si="51">((N203-I203)/O203)*S203 * (1-(3/(4*(K203+P203-2)-1)))</f>
        <v>0</v>
      </c>
      <c r="W203" s="28"/>
      <c r="X203" s="20">
        <v>1</v>
      </c>
      <c r="Y203" s="29" t="s">
        <v>63</v>
      </c>
      <c r="Z203" s="8" t="s">
        <v>44</v>
      </c>
      <c r="AA203" s="29" t="s">
        <v>48</v>
      </c>
    </row>
    <row r="204" spans="1:27" ht="18.75" customHeight="1" x14ac:dyDescent="0.2">
      <c r="A204" s="20" t="s">
        <v>305</v>
      </c>
      <c r="B204" s="20" t="s">
        <v>159</v>
      </c>
      <c r="C204" s="21">
        <v>2017</v>
      </c>
      <c r="D204" s="22" t="s">
        <v>308</v>
      </c>
      <c r="E204" s="20" t="s">
        <v>309</v>
      </c>
      <c r="F204" s="20">
        <v>1</v>
      </c>
      <c r="G204" s="20">
        <v>2</v>
      </c>
      <c r="H204" s="20"/>
      <c r="I204" s="34">
        <v>10.3</v>
      </c>
      <c r="J204" s="45">
        <v>6.6</v>
      </c>
      <c r="K204" s="20">
        <v>57</v>
      </c>
      <c r="L204" s="26">
        <v>655</v>
      </c>
      <c r="M204" s="26"/>
      <c r="N204" s="34">
        <v>9.1999999999999993</v>
      </c>
      <c r="O204" s="45">
        <v>8</v>
      </c>
      <c r="P204" s="20">
        <v>57</v>
      </c>
      <c r="Q204" s="20"/>
      <c r="R204" s="27">
        <f t="shared" si="48"/>
        <v>-0.14999690092249193</v>
      </c>
      <c r="S204" s="20">
        <v>1</v>
      </c>
      <c r="T204" s="23">
        <f t="shared" si="49"/>
        <v>-0.14999690092249193</v>
      </c>
      <c r="U204" s="23">
        <f t="shared" si="50"/>
        <v>-0.14899021031227386</v>
      </c>
      <c r="V204" s="23">
        <f t="shared" si="51"/>
        <v>-0.13657718120805387</v>
      </c>
      <c r="W204" s="28"/>
      <c r="X204" s="20">
        <v>1</v>
      </c>
      <c r="Y204" s="29" t="s">
        <v>63</v>
      </c>
      <c r="Z204" s="8" t="s">
        <v>44</v>
      </c>
      <c r="AA204" s="29" t="s">
        <v>48</v>
      </c>
    </row>
    <row r="205" spans="1:27" ht="18.75" customHeight="1" x14ac:dyDescent="0.2">
      <c r="A205" s="20" t="s">
        <v>305</v>
      </c>
      <c r="B205" s="20" t="s">
        <v>60</v>
      </c>
      <c r="C205" s="21">
        <v>2017</v>
      </c>
      <c r="D205" s="22" t="s">
        <v>310</v>
      </c>
      <c r="E205" s="20" t="s">
        <v>311</v>
      </c>
      <c r="F205" s="20">
        <v>2</v>
      </c>
      <c r="G205" s="20">
        <v>3</v>
      </c>
      <c r="H205" s="20"/>
      <c r="I205" s="34">
        <v>0.5</v>
      </c>
      <c r="J205" s="45">
        <v>0.8</v>
      </c>
      <c r="K205" s="20">
        <v>37</v>
      </c>
      <c r="L205" s="26">
        <v>720</v>
      </c>
      <c r="M205" s="26"/>
      <c r="N205" s="34">
        <v>0.4</v>
      </c>
      <c r="O205" s="45">
        <v>0.8</v>
      </c>
      <c r="P205" s="20">
        <v>30</v>
      </c>
      <c r="Q205" s="20"/>
      <c r="R205" s="27">
        <f t="shared" si="48"/>
        <v>-0.12499999999999997</v>
      </c>
      <c r="S205" s="20">
        <v>1</v>
      </c>
      <c r="T205" s="23">
        <f t="shared" si="49"/>
        <v>-0.12499999999999997</v>
      </c>
      <c r="U205" s="23">
        <f t="shared" si="50"/>
        <v>-0.12355212355212353</v>
      </c>
      <c r="V205" s="23">
        <f t="shared" si="51"/>
        <v>-0.12355212355212353</v>
      </c>
      <c r="W205" s="28"/>
      <c r="X205" s="20">
        <v>1</v>
      </c>
      <c r="Y205" s="29" t="s">
        <v>63</v>
      </c>
      <c r="Z205" s="8" t="s">
        <v>32</v>
      </c>
      <c r="AA205" s="29" t="s">
        <v>48</v>
      </c>
    </row>
    <row r="206" spans="1:27" ht="18.75" customHeight="1" x14ac:dyDescent="0.2">
      <c r="A206" s="20" t="s">
        <v>305</v>
      </c>
      <c r="B206" s="20" t="s">
        <v>60</v>
      </c>
      <c r="C206" s="21">
        <v>2017</v>
      </c>
      <c r="D206" s="22" t="s">
        <v>312</v>
      </c>
      <c r="E206" s="20" t="s">
        <v>313</v>
      </c>
      <c r="F206" s="20">
        <v>2</v>
      </c>
      <c r="G206" s="20">
        <v>4</v>
      </c>
      <c r="H206" s="20"/>
      <c r="I206" s="34">
        <v>0.8</v>
      </c>
      <c r="J206" s="45">
        <v>1.1000000000000001</v>
      </c>
      <c r="K206" s="20">
        <v>37</v>
      </c>
      <c r="L206" s="26">
        <v>720</v>
      </c>
      <c r="M206" s="26"/>
      <c r="N206" s="34">
        <v>0.6</v>
      </c>
      <c r="O206" s="45">
        <v>0.6</v>
      </c>
      <c r="P206" s="20">
        <v>30</v>
      </c>
      <c r="Q206" s="20"/>
      <c r="R206" s="27">
        <f t="shared" si="48"/>
        <v>-0.22573305919324019</v>
      </c>
      <c r="S206" s="20">
        <v>1</v>
      </c>
      <c r="T206" s="23">
        <f t="shared" si="49"/>
        <v>-0.21942686286812782</v>
      </c>
      <c r="U206" s="23">
        <f t="shared" si="50"/>
        <v>-0.21688523897390241</v>
      </c>
      <c r="V206" s="23">
        <f t="shared" si="51"/>
        <v>-0.32947232947232963</v>
      </c>
      <c r="W206" s="28"/>
      <c r="X206" s="20">
        <v>1</v>
      </c>
      <c r="Y206" s="29" t="s">
        <v>63</v>
      </c>
      <c r="Z206" s="8" t="s">
        <v>32</v>
      </c>
      <c r="AA206" s="29" t="s">
        <v>48</v>
      </c>
    </row>
    <row r="207" spans="1:27" ht="18.75" customHeight="1" x14ac:dyDescent="0.2">
      <c r="A207" s="20" t="s">
        <v>305</v>
      </c>
      <c r="B207" s="21" t="s">
        <v>77</v>
      </c>
      <c r="C207" s="21">
        <v>2020</v>
      </c>
      <c r="D207" s="22" t="s">
        <v>312</v>
      </c>
      <c r="E207" s="20" t="s">
        <v>313</v>
      </c>
      <c r="F207" s="21">
        <v>3</v>
      </c>
      <c r="G207" s="20">
        <v>5</v>
      </c>
      <c r="H207" s="20"/>
      <c r="I207" s="24">
        <v>0.8</v>
      </c>
      <c r="J207" s="25">
        <v>0.6</v>
      </c>
      <c r="K207" s="21">
        <v>19</v>
      </c>
      <c r="L207" s="26">
        <v>1042</v>
      </c>
      <c r="M207" s="26"/>
      <c r="N207" s="24">
        <v>0.5</v>
      </c>
      <c r="O207" s="25">
        <v>1.1000000000000001</v>
      </c>
      <c r="P207" s="21">
        <v>19</v>
      </c>
      <c r="Q207" s="21"/>
      <c r="R207" s="27">
        <f t="shared" si="48"/>
        <v>-0.33859958878986024</v>
      </c>
      <c r="S207" s="20">
        <v>1</v>
      </c>
      <c r="T207" s="23">
        <f t="shared" si="49"/>
        <v>-0.33859958878986024</v>
      </c>
      <c r="U207" s="23">
        <f t="shared" si="50"/>
        <v>-0.3314961009131499</v>
      </c>
      <c r="V207" s="23">
        <f t="shared" si="51"/>
        <v>-0.26700572155117613</v>
      </c>
      <c r="W207" s="28"/>
      <c r="X207" s="20">
        <v>1</v>
      </c>
      <c r="Y207" s="29" t="s">
        <v>63</v>
      </c>
      <c r="Z207" s="8" t="s">
        <v>44</v>
      </c>
      <c r="AA207" s="29" t="s">
        <v>48</v>
      </c>
    </row>
    <row r="208" spans="1:27" ht="18.75" customHeight="1" x14ac:dyDescent="0.2">
      <c r="A208" s="20" t="s">
        <v>305</v>
      </c>
      <c r="B208" s="20" t="s">
        <v>60</v>
      </c>
      <c r="C208" s="21">
        <v>2017</v>
      </c>
      <c r="D208" s="22" t="s">
        <v>314</v>
      </c>
      <c r="E208" s="20" t="s">
        <v>315</v>
      </c>
      <c r="F208" s="20">
        <v>2</v>
      </c>
      <c r="G208" s="20">
        <v>6</v>
      </c>
      <c r="H208" s="20"/>
      <c r="I208" s="34">
        <v>1.6</v>
      </c>
      <c r="J208" s="45">
        <v>2.6</v>
      </c>
      <c r="K208" s="20">
        <v>37</v>
      </c>
      <c r="L208" s="26">
        <v>720</v>
      </c>
      <c r="M208" s="26"/>
      <c r="N208" s="34">
        <v>2</v>
      </c>
      <c r="O208" s="45">
        <v>2.2999999999999998</v>
      </c>
      <c r="P208" s="20">
        <v>30</v>
      </c>
      <c r="Q208" s="20"/>
      <c r="R208" s="27">
        <f t="shared" si="48"/>
        <v>0.16296016874534205</v>
      </c>
      <c r="S208" s="20">
        <v>1</v>
      </c>
      <c r="T208" s="23">
        <f t="shared" si="49"/>
        <v>0.16190015178379852</v>
      </c>
      <c r="U208" s="23">
        <f t="shared" si="50"/>
        <v>0.16002486045039546</v>
      </c>
      <c r="V208" s="23">
        <f t="shared" si="51"/>
        <v>0.17189860668121534</v>
      </c>
      <c r="W208" s="28"/>
      <c r="X208" s="20">
        <v>1</v>
      </c>
      <c r="Y208" s="29" t="s">
        <v>63</v>
      </c>
      <c r="Z208" s="8" t="s">
        <v>32</v>
      </c>
      <c r="AA208" s="29" t="s">
        <v>48</v>
      </c>
    </row>
    <row r="209" spans="1:27" ht="18.75" customHeight="1" x14ac:dyDescent="0.2">
      <c r="A209" s="20" t="s">
        <v>305</v>
      </c>
      <c r="B209" s="21" t="s">
        <v>77</v>
      </c>
      <c r="C209" s="21">
        <v>2020</v>
      </c>
      <c r="D209" s="22" t="s">
        <v>314</v>
      </c>
      <c r="E209" s="20" t="s">
        <v>302</v>
      </c>
      <c r="F209" s="21">
        <v>3</v>
      </c>
      <c r="G209" s="20">
        <v>7</v>
      </c>
      <c r="H209" s="20"/>
      <c r="I209" s="24">
        <v>1.6</v>
      </c>
      <c r="J209" s="25">
        <v>4.7</v>
      </c>
      <c r="K209" s="21">
        <v>19</v>
      </c>
      <c r="L209" s="26">
        <v>1042</v>
      </c>
      <c r="M209" s="26"/>
      <c r="N209" s="24">
        <v>0.6</v>
      </c>
      <c r="O209" s="25">
        <v>1.2</v>
      </c>
      <c r="P209" s="21">
        <v>19</v>
      </c>
      <c r="Q209" s="21"/>
      <c r="R209" s="27">
        <f t="shared" si="48"/>
        <v>-0.29154395046566078</v>
      </c>
      <c r="S209" s="20">
        <v>1</v>
      </c>
      <c r="T209" s="23">
        <f t="shared" si="49"/>
        <v>-0.29154395046566078</v>
      </c>
      <c r="U209" s="23">
        <f t="shared" si="50"/>
        <v>-0.28542764381253505</v>
      </c>
      <c r="V209" s="23">
        <f t="shared" si="51"/>
        <v>-0.81585081585081587</v>
      </c>
      <c r="W209" s="28"/>
      <c r="X209" s="20">
        <v>1</v>
      </c>
      <c r="Y209" s="29" t="s">
        <v>63</v>
      </c>
      <c r="Z209" s="8" t="s">
        <v>44</v>
      </c>
      <c r="AA209" s="29" t="s">
        <v>48</v>
      </c>
    </row>
    <row r="210" spans="1:27" ht="18.75" customHeight="1" x14ac:dyDescent="0.2">
      <c r="A210" s="20" t="s">
        <v>305</v>
      </c>
      <c r="B210" s="20" t="s">
        <v>60</v>
      </c>
      <c r="C210" s="21">
        <v>2017</v>
      </c>
      <c r="D210" s="22" t="s">
        <v>316</v>
      </c>
      <c r="E210" s="20" t="s">
        <v>317</v>
      </c>
      <c r="F210" s="20">
        <v>2</v>
      </c>
      <c r="G210" s="20">
        <v>8</v>
      </c>
      <c r="H210" s="20"/>
      <c r="I210" s="34">
        <v>2.4</v>
      </c>
      <c r="J210" s="45">
        <v>2.7</v>
      </c>
      <c r="K210" s="20">
        <v>37</v>
      </c>
      <c r="L210" s="26">
        <v>720</v>
      </c>
      <c r="M210" s="26"/>
      <c r="N210" s="34">
        <v>3.1</v>
      </c>
      <c r="O210" s="45">
        <v>4.4000000000000004</v>
      </c>
      <c r="P210" s="20">
        <v>30</v>
      </c>
      <c r="Q210" s="20"/>
      <c r="R210" s="27">
        <f t="shared" si="48"/>
        <v>0.19176283037764785</v>
      </c>
      <c r="S210" s="20">
        <v>1</v>
      </c>
      <c r="T210" s="23">
        <f t="shared" si="49"/>
        <v>0.19661775735215331</v>
      </c>
      <c r="U210" s="23">
        <f t="shared" si="50"/>
        <v>0.19434033159131756</v>
      </c>
      <c r="V210" s="23">
        <f t="shared" si="51"/>
        <v>0.15724815724815727</v>
      </c>
      <c r="W210" s="28"/>
      <c r="X210" s="20">
        <v>1</v>
      </c>
      <c r="Y210" s="29" t="s">
        <v>63</v>
      </c>
      <c r="Z210" s="8" t="s">
        <v>32</v>
      </c>
      <c r="AA210" s="29" t="s">
        <v>48</v>
      </c>
    </row>
    <row r="211" spans="1:27" ht="18.75" customHeight="1" x14ac:dyDescent="0.2">
      <c r="A211" s="20" t="s">
        <v>305</v>
      </c>
      <c r="B211" s="21" t="s">
        <v>77</v>
      </c>
      <c r="C211" s="21">
        <v>2020</v>
      </c>
      <c r="D211" s="22" t="s">
        <v>316</v>
      </c>
      <c r="E211" s="20" t="s">
        <v>302</v>
      </c>
      <c r="F211" s="21">
        <v>3</v>
      </c>
      <c r="G211" s="20">
        <v>9</v>
      </c>
      <c r="H211" s="20"/>
      <c r="I211" s="24">
        <v>3.2</v>
      </c>
      <c r="J211" s="25">
        <v>4.7</v>
      </c>
      <c r="K211" s="21">
        <v>19</v>
      </c>
      <c r="L211" s="26">
        <v>1042</v>
      </c>
      <c r="M211" s="26"/>
      <c r="N211" s="24">
        <v>2.8</v>
      </c>
      <c r="O211" s="25">
        <v>4.7</v>
      </c>
      <c r="P211" s="21">
        <v>19</v>
      </c>
      <c r="Q211" s="21"/>
      <c r="R211" s="27">
        <f t="shared" si="48"/>
        <v>-8.5106382978723472E-2</v>
      </c>
      <c r="S211" s="20">
        <v>1</v>
      </c>
      <c r="T211" s="23">
        <f t="shared" si="49"/>
        <v>-8.5106382978723472E-2</v>
      </c>
      <c r="U211" s="23">
        <f t="shared" si="50"/>
        <v>-8.3320934384764248E-2</v>
      </c>
      <c r="V211" s="23">
        <f t="shared" si="51"/>
        <v>-8.3320934384764248E-2</v>
      </c>
      <c r="W211" s="28"/>
      <c r="X211" s="20">
        <v>1</v>
      </c>
      <c r="Y211" s="29" t="s">
        <v>63</v>
      </c>
      <c r="Z211" s="8" t="s">
        <v>44</v>
      </c>
      <c r="AA211" s="29" t="s">
        <v>48</v>
      </c>
    </row>
    <row r="212" spans="1:27" ht="18.75" customHeight="1" x14ac:dyDescent="0.2">
      <c r="A212" s="20"/>
      <c r="B212" s="20"/>
      <c r="C212" s="21"/>
      <c r="D212" s="22"/>
      <c r="E212" s="20"/>
      <c r="F212" s="20">
        <v>3</v>
      </c>
      <c r="G212" s="20">
        <v>9</v>
      </c>
      <c r="H212" s="20"/>
      <c r="I212" s="34"/>
      <c r="J212" s="25">
        <f>AVERAGE(J203:J210)</f>
        <v>2.6875</v>
      </c>
      <c r="K212" s="37">
        <f>SUM(K211,K210,K204)</f>
        <v>113</v>
      </c>
      <c r="L212" s="54">
        <f>AVERAGE(L211,L210,L204)</f>
        <v>805.66666666666663</v>
      </c>
      <c r="M212" s="54"/>
      <c r="N212" s="34"/>
      <c r="O212" s="25">
        <f>AVERAGE(O203:O210)</f>
        <v>2.5750000000000002</v>
      </c>
      <c r="P212" s="37">
        <f>SUM(P211,P210,P204)</f>
        <v>106</v>
      </c>
      <c r="Q212" s="20"/>
      <c r="R212" s="27"/>
      <c r="S212" s="20"/>
      <c r="T212" s="41">
        <f>AVERAGE(T203:T210)</f>
        <v>-9.5756174238773611E-2</v>
      </c>
      <c r="U212" s="41">
        <f>AVERAGE(U203:U210)</f>
        <v>-9.399826569028398E-2</v>
      </c>
      <c r="V212" s="41">
        <f>AVERAGE(V203:V210)</f>
        <v>-0.16791392596314081</v>
      </c>
      <c r="W212" s="28"/>
      <c r="X212" s="20"/>
      <c r="AA212" s="29"/>
    </row>
    <row r="213" spans="1:27" ht="18.75" customHeight="1" x14ac:dyDescent="0.2">
      <c r="A213" s="20"/>
      <c r="B213" s="20"/>
      <c r="C213" s="21"/>
      <c r="D213" s="22"/>
      <c r="E213" s="20"/>
      <c r="F213" s="20"/>
      <c r="G213" s="20"/>
      <c r="H213" s="20"/>
      <c r="I213" s="34"/>
      <c r="J213" s="45"/>
      <c r="K213" s="20"/>
      <c r="L213" s="26"/>
      <c r="M213" s="26"/>
      <c r="N213" s="34"/>
      <c r="O213" s="45"/>
      <c r="P213" s="20"/>
      <c r="Q213" s="20"/>
      <c r="R213" s="27"/>
      <c r="S213" s="20"/>
      <c r="T213" s="44">
        <f>STDEV(T203:T211)</f>
        <v>0.18625816541806231</v>
      </c>
      <c r="U213" s="44">
        <f>STDEV(U203:U211)</f>
        <v>0.18325292924690126</v>
      </c>
      <c r="V213" s="44">
        <f>STDEV(V203:V211)</f>
        <v>0.29884179892325502</v>
      </c>
      <c r="W213" s="21"/>
      <c r="X213" s="20"/>
      <c r="AA213" s="29"/>
    </row>
    <row r="214" spans="1:27" ht="18.75" customHeight="1" x14ac:dyDescent="0.2">
      <c r="A214" s="20" t="s">
        <v>318</v>
      </c>
      <c r="B214" s="20" t="s">
        <v>319</v>
      </c>
      <c r="C214" s="21">
        <v>1998</v>
      </c>
      <c r="D214" s="22" t="s">
        <v>320</v>
      </c>
      <c r="E214" s="20" t="s">
        <v>321</v>
      </c>
      <c r="F214" s="20">
        <v>1</v>
      </c>
      <c r="G214" s="20">
        <v>1</v>
      </c>
      <c r="H214" s="20"/>
      <c r="I214" s="34">
        <v>452</v>
      </c>
      <c r="J214" s="45">
        <v>72.239999999999995</v>
      </c>
      <c r="K214" s="20">
        <v>57</v>
      </c>
      <c r="L214" s="26">
        <v>1085</v>
      </c>
      <c r="M214" s="26"/>
      <c r="N214" s="34">
        <v>430</v>
      </c>
      <c r="O214" s="45">
        <v>77.48</v>
      </c>
      <c r="P214" s="20">
        <v>40</v>
      </c>
      <c r="Q214" s="20"/>
      <c r="R214" s="27">
        <f t="shared" ref="R214:R228" si="52">(N214-I214)/SQRT((O214^2+J214^2)/2)</f>
        <v>-0.29370208915591428</v>
      </c>
      <c r="S214" s="20">
        <v>-1</v>
      </c>
      <c r="T214" s="23">
        <f t="shared" ref="T214:T227" si="53">(N214-I214)/SQRT((((P214-1)*O214^2) + ((K214-1)*J214^2))/(P214+K214-2))*S214</f>
        <v>0.29555669090217029</v>
      </c>
      <c r="U214" s="23">
        <f t="shared" ref="U214:U227" si="54">T214*(1-(3/(4*(K214+P214-2) -1)))</f>
        <v>0.29321719202959373</v>
      </c>
      <c r="V214" s="23">
        <f t="shared" ref="V214:V228" si="55">((N214-I214)/O214)*S214 * (1-(3/(4*(K214+P214-2)-1)))</f>
        <v>0.2816966639105436</v>
      </c>
      <c r="W214" s="28"/>
      <c r="X214" s="20">
        <v>4</v>
      </c>
      <c r="Y214" s="29" t="s">
        <v>81</v>
      </c>
      <c r="Z214" s="8" t="s">
        <v>44</v>
      </c>
      <c r="AA214" s="29" t="s">
        <v>81</v>
      </c>
    </row>
    <row r="215" spans="1:27" ht="18.75" customHeight="1" x14ac:dyDescent="0.2">
      <c r="A215" s="20" t="s">
        <v>318</v>
      </c>
      <c r="B215" s="20" t="s">
        <v>319</v>
      </c>
      <c r="C215" s="21">
        <v>1998</v>
      </c>
      <c r="D215" s="22" t="s">
        <v>322</v>
      </c>
      <c r="E215" s="20" t="s">
        <v>323</v>
      </c>
      <c r="F215" s="20">
        <v>1</v>
      </c>
      <c r="G215" s="20">
        <v>2</v>
      </c>
      <c r="H215" s="20"/>
      <c r="I215" s="34">
        <v>17.2</v>
      </c>
      <c r="J215" s="45">
        <v>6.7</v>
      </c>
      <c r="K215" s="20">
        <v>57</v>
      </c>
      <c r="L215" s="26">
        <v>1085</v>
      </c>
      <c r="M215" s="26"/>
      <c r="N215" s="34">
        <v>13.1</v>
      </c>
      <c r="O215" s="45">
        <v>3.5</v>
      </c>
      <c r="P215" s="20">
        <v>40</v>
      </c>
      <c r="Q215" s="20"/>
      <c r="R215" s="27">
        <f t="shared" si="52"/>
        <v>-0.76705894100189487</v>
      </c>
      <c r="S215" s="20">
        <v>1</v>
      </c>
      <c r="T215" s="23">
        <f t="shared" si="53"/>
        <v>-0.73062515887939938</v>
      </c>
      <c r="U215" s="23">
        <f t="shared" si="54"/>
        <v>-0.72484184627613235</v>
      </c>
      <c r="V215" s="23">
        <f t="shared" si="55"/>
        <v>-1.1621560497549941</v>
      </c>
      <c r="W215" s="28"/>
      <c r="X215" s="20">
        <v>4</v>
      </c>
      <c r="Y215" s="29" t="s">
        <v>81</v>
      </c>
      <c r="Z215" s="8" t="s">
        <v>44</v>
      </c>
      <c r="AA215" s="29" t="s">
        <v>81</v>
      </c>
    </row>
    <row r="216" spans="1:27" ht="18.75" customHeight="1" x14ac:dyDescent="0.2">
      <c r="A216" s="20" t="s">
        <v>318</v>
      </c>
      <c r="B216" s="20" t="s">
        <v>319</v>
      </c>
      <c r="C216" s="21">
        <v>1998</v>
      </c>
      <c r="D216" s="22" t="s">
        <v>324</v>
      </c>
      <c r="E216" s="20" t="s">
        <v>325</v>
      </c>
      <c r="F216" s="20">
        <v>1</v>
      </c>
      <c r="G216" s="20">
        <v>3</v>
      </c>
      <c r="H216" s="20"/>
      <c r="I216" s="34">
        <v>6.5</v>
      </c>
      <c r="J216" s="45">
        <v>3</v>
      </c>
      <c r="K216" s="20">
        <v>57</v>
      </c>
      <c r="L216" s="26">
        <v>1085</v>
      </c>
      <c r="M216" s="26"/>
      <c r="N216" s="34">
        <v>4.9000000000000004</v>
      </c>
      <c r="O216" s="45">
        <v>3.6</v>
      </c>
      <c r="P216" s="20">
        <v>40</v>
      </c>
      <c r="Q216" s="20"/>
      <c r="R216" s="27">
        <f t="shared" si="52"/>
        <v>-0.48285731222676537</v>
      </c>
      <c r="S216" s="20">
        <v>1</v>
      </c>
      <c r="T216" s="23">
        <f t="shared" si="53"/>
        <v>-0.49084178892291869</v>
      </c>
      <c r="U216" s="23">
        <f t="shared" si="54"/>
        <v>-0.48695649771772409</v>
      </c>
      <c r="V216" s="23">
        <f t="shared" si="55"/>
        <v>-0.44092641454119014</v>
      </c>
      <c r="W216" s="28"/>
      <c r="X216" s="20">
        <v>4</v>
      </c>
      <c r="Y216" s="29" t="s">
        <v>81</v>
      </c>
      <c r="Z216" s="8" t="s">
        <v>44</v>
      </c>
      <c r="AA216" s="29" t="s">
        <v>81</v>
      </c>
    </row>
    <row r="217" spans="1:27" ht="18.75" customHeight="1" x14ac:dyDescent="0.2">
      <c r="A217" s="20" t="s">
        <v>318</v>
      </c>
      <c r="B217" s="20" t="s">
        <v>319</v>
      </c>
      <c r="C217" s="21">
        <v>1998</v>
      </c>
      <c r="D217" s="22" t="s">
        <v>326</v>
      </c>
      <c r="E217" s="20" t="s">
        <v>327</v>
      </c>
      <c r="F217" s="20">
        <v>1</v>
      </c>
      <c r="G217" s="20">
        <v>4</v>
      </c>
      <c r="H217" s="20"/>
      <c r="I217" s="34">
        <v>37.9</v>
      </c>
      <c r="J217" s="45">
        <v>15.2</v>
      </c>
      <c r="K217" s="20">
        <v>57</v>
      </c>
      <c r="L217" s="26">
        <v>1085</v>
      </c>
      <c r="M217" s="26"/>
      <c r="N217" s="34">
        <v>26.5</v>
      </c>
      <c r="O217" s="45">
        <v>8.6</v>
      </c>
      <c r="P217" s="20">
        <v>40</v>
      </c>
      <c r="Q217" s="20"/>
      <c r="R217" s="27">
        <f t="shared" si="52"/>
        <v>-0.92314501640396418</v>
      </c>
      <c r="S217" s="20">
        <v>1</v>
      </c>
      <c r="T217" s="23">
        <f t="shared" si="53"/>
        <v>-0.88333742624655998</v>
      </c>
      <c r="U217" s="23">
        <f t="shared" si="54"/>
        <v>-0.87634530941611222</v>
      </c>
      <c r="V217" s="23">
        <f t="shared" si="55"/>
        <v>-1.3150886666257593</v>
      </c>
      <c r="W217" s="28"/>
      <c r="X217" s="20">
        <v>4</v>
      </c>
      <c r="Y217" s="29" t="s">
        <v>81</v>
      </c>
      <c r="Z217" s="8" t="s">
        <v>44</v>
      </c>
      <c r="AA217" s="29" t="s">
        <v>81</v>
      </c>
    </row>
    <row r="218" spans="1:27" ht="18.75" customHeight="1" x14ac:dyDescent="0.2">
      <c r="A218" s="20" t="s">
        <v>318</v>
      </c>
      <c r="B218" s="20" t="s">
        <v>319</v>
      </c>
      <c r="C218" s="21">
        <v>1998</v>
      </c>
      <c r="D218" s="22" t="s">
        <v>328</v>
      </c>
      <c r="E218" s="20" t="s">
        <v>329</v>
      </c>
      <c r="F218" s="20">
        <v>1</v>
      </c>
      <c r="G218" s="20">
        <v>5</v>
      </c>
      <c r="H218" s="20"/>
      <c r="I218" s="34">
        <v>16.600000000000001</v>
      </c>
      <c r="J218" s="45">
        <v>11.8</v>
      </c>
      <c r="K218" s="20">
        <v>57</v>
      </c>
      <c r="L218" s="26">
        <v>1085</v>
      </c>
      <c r="M218" s="26"/>
      <c r="N218" s="34">
        <v>8.5</v>
      </c>
      <c r="O218" s="45">
        <v>6.4</v>
      </c>
      <c r="P218" s="20">
        <v>40</v>
      </c>
      <c r="Q218" s="20"/>
      <c r="R218" s="27">
        <f t="shared" si="52"/>
        <v>-0.85334102151549585</v>
      </c>
      <c r="S218" s="20">
        <v>1</v>
      </c>
      <c r="T218" s="23">
        <f t="shared" si="53"/>
        <v>-0.81451896903924781</v>
      </c>
      <c r="U218" s="23">
        <f t="shared" si="54"/>
        <v>-0.80807158933709022</v>
      </c>
      <c r="V218" s="23">
        <f t="shared" si="55"/>
        <v>-1.2556068601583115</v>
      </c>
      <c r="W218" s="28"/>
      <c r="X218" s="20">
        <v>4</v>
      </c>
      <c r="Y218" s="29" t="s">
        <v>81</v>
      </c>
      <c r="Z218" s="8" t="s">
        <v>44</v>
      </c>
      <c r="AA218" s="29" t="s">
        <v>81</v>
      </c>
    </row>
    <row r="219" spans="1:27" ht="18.75" customHeight="1" x14ac:dyDescent="0.2">
      <c r="A219" s="20" t="s">
        <v>318</v>
      </c>
      <c r="B219" s="20" t="s">
        <v>319</v>
      </c>
      <c r="C219" s="21">
        <v>1998</v>
      </c>
      <c r="D219" s="22" t="s">
        <v>330</v>
      </c>
      <c r="E219" s="20" t="s">
        <v>331</v>
      </c>
      <c r="F219" s="20">
        <v>1</v>
      </c>
      <c r="G219" s="20">
        <v>6</v>
      </c>
      <c r="H219" s="20"/>
      <c r="I219" s="34">
        <v>4.7</v>
      </c>
      <c r="J219" s="45">
        <v>6</v>
      </c>
      <c r="K219" s="20">
        <v>57</v>
      </c>
      <c r="L219" s="26">
        <v>1085</v>
      </c>
      <c r="M219" s="26"/>
      <c r="N219" s="34">
        <v>3.1</v>
      </c>
      <c r="O219" s="45">
        <v>4.7</v>
      </c>
      <c r="P219" s="20">
        <v>40</v>
      </c>
      <c r="Q219" s="20"/>
      <c r="R219" s="27">
        <f t="shared" si="52"/>
        <v>-0.2968822906616716</v>
      </c>
      <c r="S219" s="20">
        <v>1</v>
      </c>
      <c r="T219" s="23">
        <f t="shared" si="53"/>
        <v>-0.29071896546478426</v>
      </c>
      <c r="U219" s="23">
        <f t="shared" si="54"/>
        <v>-0.28841775993340074</v>
      </c>
      <c r="V219" s="23">
        <f t="shared" si="55"/>
        <v>-0.33773087071240104</v>
      </c>
      <c r="W219" s="28"/>
      <c r="X219" s="20">
        <v>4</v>
      </c>
      <c r="Y219" s="29" t="s">
        <v>81</v>
      </c>
      <c r="Z219" s="8" t="s">
        <v>44</v>
      </c>
      <c r="AA219" s="29" t="s">
        <v>81</v>
      </c>
    </row>
    <row r="220" spans="1:27" ht="18.75" customHeight="1" x14ac:dyDescent="0.2">
      <c r="A220" s="20" t="s">
        <v>318</v>
      </c>
      <c r="B220" s="20" t="s">
        <v>319</v>
      </c>
      <c r="C220" s="21">
        <v>1998</v>
      </c>
      <c r="D220" s="22" t="s">
        <v>332</v>
      </c>
      <c r="E220" s="20" t="s">
        <v>333</v>
      </c>
      <c r="F220" s="20">
        <v>1</v>
      </c>
      <c r="G220" s="20">
        <v>7</v>
      </c>
      <c r="H220" s="20"/>
      <c r="I220" s="34">
        <v>3</v>
      </c>
      <c r="J220" s="45">
        <v>4.9000000000000004</v>
      </c>
      <c r="K220" s="20">
        <v>57</v>
      </c>
      <c r="L220" s="26">
        <v>1085</v>
      </c>
      <c r="M220" s="26"/>
      <c r="N220" s="34">
        <v>1.7</v>
      </c>
      <c r="O220" s="45">
        <v>3.5</v>
      </c>
      <c r="P220" s="20">
        <v>40</v>
      </c>
      <c r="Q220" s="20"/>
      <c r="R220" s="27">
        <f t="shared" si="52"/>
        <v>-0.30531240499566353</v>
      </c>
      <c r="S220" s="20">
        <v>1</v>
      </c>
      <c r="T220" s="23">
        <f t="shared" si="53"/>
        <v>-0.29682059119432402</v>
      </c>
      <c r="U220" s="23">
        <f t="shared" si="54"/>
        <v>-0.29447108783394677</v>
      </c>
      <c r="V220" s="23">
        <f t="shared" si="55"/>
        <v>-0.36848850358085189</v>
      </c>
      <c r="W220" s="28"/>
      <c r="X220" s="20">
        <v>4</v>
      </c>
      <c r="Y220" s="29" t="s">
        <v>81</v>
      </c>
      <c r="Z220" s="8" t="s">
        <v>44</v>
      </c>
      <c r="AA220" s="29" t="s">
        <v>81</v>
      </c>
    </row>
    <row r="221" spans="1:27" ht="18.75" customHeight="1" x14ac:dyDescent="0.2">
      <c r="A221" s="20" t="s">
        <v>318</v>
      </c>
      <c r="B221" s="20" t="s">
        <v>319</v>
      </c>
      <c r="C221" s="21">
        <v>1998</v>
      </c>
      <c r="D221" s="22" t="s">
        <v>334</v>
      </c>
      <c r="E221" s="20" t="s">
        <v>335</v>
      </c>
      <c r="F221" s="20">
        <v>1</v>
      </c>
      <c r="G221" s="20">
        <v>8</v>
      </c>
      <c r="H221" s="20"/>
      <c r="I221" s="34">
        <v>19.600000000000001</v>
      </c>
      <c r="J221" s="45">
        <v>10.9</v>
      </c>
      <c r="K221" s="20">
        <v>57</v>
      </c>
      <c r="L221" s="26">
        <v>1085</v>
      </c>
      <c r="M221" s="26"/>
      <c r="N221" s="34">
        <v>15.1</v>
      </c>
      <c r="O221" s="45">
        <v>9.4</v>
      </c>
      <c r="P221" s="20">
        <v>40</v>
      </c>
      <c r="Q221" s="20"/>
      <c r="R221" s="27">
        <f t="shared" si="52"/>
        <v>-0.44214434886732878</v>
      </c>
      <c r="S221" s="20">
        <v>1</v>
      </c>
      <c r="T221" s="23">
        <f t="shared" si="53"/>
        <v>-0.43644199244467241</v>
      </c>
      <c r="U221" s="23">
        <f t="shared" si="54"/>
        <v>-0.43298730648864597</v>
      </c>
      <c r="V221" s="23">
        <f t="shared" si="55"/>
        <v>-0.47493403693931419</v>
      </c>
      <c r="W221" s="28"/>
      <c r="X221" s="20">
        <v>4</v>
      </c>
      <c r="Y221" s="29" t="s">
        <v>81</v>
      </c>
      <c r="Z221" s="8" t="s">
        <v>44</v>
      </c>
      <c r="AA221" s="29" t="s">
        <v>81</v>
      </c>
    </row>
    <row r="222" spans="1:27" ht="18.75" customHeight="1" x14ac:dyDescent="0.2">
      <c r="A222" s="20" t="s">
        <v>318</v>
      </c>
      <c r="B222" s="20" t="s">
        <v>319</v>
      </c>
      <c r="C222" s="21">
        <v>1998</v>
      </c>
      <c r="D222" s="22" t="s">
        <v>336</v>
      </c>
      <c r="E222" s="20" t="s">
        <v>337</v>
      </c>
      <c r="F222" s="20">
        <v>1</v>
      </c>
      <c r="G222" s="20">
        <v>9</v>
      </c>
      <c r="H222" s="20"/>
      <c r="I222" s="34">
        <v>14.4</v>
      </c>
      <c r="J222" s="45">
        <v>11.8</v>
      </c>
      <c r="K222" s="20">
        <v>57</v>
      </c>
      <c r="L222" s="26">
        <v>1085</v>
      </c>
      <c r="M222" s="26"/>
      <c r="N222" s="34">
        <v>10.7</v>
      </c>
      <c r="O222" s="45">
        <v>8.6</v>
      </c>
      <c r="P222" s="20">
        <v>40</v>
      </c>
      <c r="Q222" s="20"/>
      <c r="R222" s="27">
        <f t="shared" si="52"/>
        <v>-0.35836296545455271</v>
      </c>
      <c r="S222" s="20">
        <v>1</v>
      </c>
      <c r="T222" s="23">
        <f t="shared" si="53"/>
        <v>-0.34893109980148973</v>
      </c>
      <c r="U222" s="23">
        <f t="shared" si="54"/>
        <v>-0.34616911220411645</v>
      </c>
      <c r="V222" s="23">
        <f t="shared" si="55"/>
        <v>-0.42682702337853606</v>
      </c>
      <c r="W222" s="28"/>
      <c r="X222" s="20">
        <v>4</v>
      </c>
      <c r="Y222" s="29" t="s">
        <v>81</v>
      </c>
      <c r="Z222" s="8" t="s">
        <v>44</v>
      </c>
      <c r="AA222" s="29" t="s">
        <v>81</v>
      </c>
    </row>
    <row r="223" spans="1:27" ht="18.75" customHeight="1" x14ac:dyDescent="0.2">
      <c r="A223" s="20" t="s">
        <v>318</v>
      </c>
      <c r="B223" s="20" t="s">
        <v>319</v>
      </c>
      <c r="C223" s="21">
        <v>1998</v>
      </c>
      <c r="D223" s="22" t="s">
        <v>338</v>
      </c>
      <c r="E223" s="20" t="s">
        <v>339</v>
      </c>
      <c r="F223" s="20">
        <v>1</v>
      </c>
      <c r="G223" s="20">
        <v>10</v>
      </c>
      <c r="H223" s="20"/>
      <c r="I223" s="34">
        <v>35</v>
      </c>
      <c r="J223" s="45">
        <v>12</v>
      </c>
      <c r="K223" s="20">
        <v>57</v>
      </c>
      <c r="L223" s="26">
        <v>1085</v>
      </c>
      <c r="M223" s="26"/>
      <c r="N223" s="34">
        <v>33</v>
      </c>
      <c r="O223" s="45">
        <v>12</v>
      </c>
      <c r="P223" s="20">
        <v>40</v>
      </c>
      <c r="Q223" s="20"/>
      <c r="R223" s="27">
        <f t="shared" si="52"/>
        <v>-0.16666666666666666</v>
      </c>
      <c r="S223" s="20">
        <v>1</v>
      </c>
      <c r="T223" s="23">
        <f t="shared" si="53"/>
        <v>-0.16666666666666666</v>
      </c>
      <c r="U223" s="23">
        <f t="shared" si="54"/>
        <v>-0.16534740545294635</v>
      </c>
      <c r="V223" s="23">
        <f t="shared" si="55"/>
        <v>-0.16534740545294635</v>
      </c>
      <c r="W223" s="28"/>
      <c r="X223" s="20">
        <v>4</v>
      </c>
      <c r="Y223" s="29" t="s">
        <v>81</v>
      </c>
      <c r="Z223" s="8" t="s">
        <v>44</v>
      </c>
      <c r="AA223" s="29" t="s">
        <v>81</v>
      </c>
    </row>
    <row r="224" spans="1:27" ht="18.75" customHeight="1" x14ac:dyDescent="0.2">
      <c r="A224" s="20" t="s">
        <v>318</v>
      </c>
      <c r="B224" s="20" t="s">
        <v>319</v>
      </c>
      <c r="C224" s="21">
        <v>1998</v>
      </c>
      <c r="D224" s="22" t="s">
        <v>340</v>
      </c>
      <c r="E224" s="20" t="s">
        <v>341</v>
      </c>
      <c r="F224" s="20">
        <v>1</v>
      </c>
      <c r="G224" s="20">
        <v>11</v>
      </c>
      <c r="H224" s="20"/>
      <c r="I224" s="34">
        <v>101</v>
      </c>
      <c r="J224" s="45">
        <v>52</v>
      </c>
      <c r="K224" s="20">
        <v>57</v>
      </c>
      <c r="L224" s="26">
        <v>1085</v>
      </c>
      <c r="M224" s="26"/>
      <c r="N224" s="34">
        <v>89</v>
      </c>
      <c r="O224" s="45">
        <v>58</v>
      </c>
      <c r="P224" s="20">
        <v>40</v>
      </c>
      <c r="Q224" s="20"/>
      <c r="R224" s="27">
        <f t="shared" si="52"/>
        <v>-0.21785797263947917</v>
      </c>
      <c r="S224" s="20">
        <v>1</v>
      </c>
      <c r="T224" s="23">
        <f t="shared" si="53"/>
        <v>-0.2200095854217419</v>
      </c>
      <c r="U224" s="23">
        <f t="shared" si="54"/>
        <v>-0.21826808474558035</v>
      </c>
      <c r="V224" s="23">
        <f t="shared" si="55"/>
        <v>-0.20525884814848513</v>
      </c>
      <c r="W224" s="28"/>
      <c r="X224" s="20">
        <v>4</v>
      </c>
      <c r="Y224" s="29" t="s">
        <v>81</v>
      </c>
      <c r="Z224" s="8" t="s">
        <v>44</v>
      </c>
      <c r="AA224" s="29" t="s">
        <v>81</v>
      </c>
    </row>
    <row r="225" spans="1:27" ht="18.75" customHeight="1" x14ac:dyDescent="0.2">
      <c r="A225" s="20" t="s">
        <v>318</v>
      </c>
      <c r="B225" s="20" t="s">
        <v>342</v>
      </c>
      <c r="C225" s="21">
        <v>2018</v>
      </c>
      <c r="D225" s="22" t="s">
        <v>343</v>
      </c>
      <c r="E225" s="20" t="s">
        <v>344</v>
      </c>
      <c r="F225" s="20">
        <v>2</v>
      </c>
      <c r="G225" s="20">
        <v>12</v>
      </c>
      <c r="H225" s="20"/>
      <c r="I225" s="34">
        <v>10.1</v>
      </c>
      <c r="J225" s="45">
        <v>2.14</v>
      </c>
      <c r="K225" s="20">
        <v>46</v>
      </c>
      <c r="L225" s="26">
        <v>594.79999999999995</v>
      </c>
      <c r="M225" s="26"/>
      <c r="N225" s="34">
        <v>8.5399999999999991</v>
      </c>
      <c r="O225" s="45">
        <v>1.91</v>
      </c>
      <c r="P225" s="20">
        <v>31</v>
      </c>
      <c r="Q225" s="20"/>
      <c r="R225" s="27">
        <f t="shared" si="52"/>
        <v>-0.76913109944122449</v>
      </c>
      <c r="S225" s="20">
        <v>1</v>
      </c>
      <c r="T225" s="23">
        <f t="shared" si="53"/>
        <v>-0.76056851367157641</v>
      </c>
      <c r="U225" s="23">
        <f t="shared" si="54"/>
        <v>-0.75293739146082483</v>
      </c>
      <c r="V225" s="23">
        <f t="shared" si="55"/>
        <v>-0.80855907124971571</v>
      </c>
      <c r="W225" s="28"/>
      <c r="X225" s="20">
        <v>1</v>
      </c>
      <c r="Y225" s="29" t="s">
        <v>63</v>
      </c>
      <c r="Z225" s="8" t="s">
        <v>32</v>
      </c>
      <c r="AA225" s="29" t="s">
        <v>48</v>
      </c>
    </row>
    <row r="226" spans="1:27" ht="18.75" customHeight="1" x14ac:dyDescent="0.2">
      <c r="A226" s="20" t="s">
        <v>318</v>
      </c>
      <c r="B226" s="20" t="s">
        <v>60</v>
      </c>
      <c r="C226" s="21">
        <v>2017</v>
      </c>
      <c r="D226" s="22" t="s">
        <v>345</v>
      </c>
      <c r="E226" s="20" t="s">
        <v>346</v>
      </c>
      <c r="F226" s="20">
        <v>3</v>
      </c>
      <c r="G226" s="20">
        <v>13</v>
      </c>
      <c r="H226" s="20"/>
      <c r="I226" s="34">
        <v>65.099999999999994</v>
      </c>
      <c r="J226" s="45">
        <v>11.7</v>
      </c>
      <c r="K226" s="20">
        <v>37</v>
      </c>
      <c r="L226" s="26">
        <v>720</v>
      </c>
      <c r="M226" s="26"/>
      <c r="N226" s="34">
        <v>59.2</v>
      </c>
      <c r="O226" s="45">
        <v>5.0999999999999996</v>
      </c>
      <c r="P226" s="20">
        <v>30</v>
      </c>
      <c r="Q226" s="20"/>
      <c r="R226" s="27">
        <f t="shared" si="52"/>
        <v>-0.6537421203926238</v>
      </c>
      <c r="S226" s="20">
        <v>1</v>
      </c>
      <c r="T226" s="23">
        <f t="shared" si="53"/>
        <v>-0.63102339972220256</v>
      </c>
      <c r="U226" s="23">
        <f t="shared" si="54"/>
        <v>-0.62371424837406897</v>
      </c>
      <c r="V226" s="23">
        <f t="shared" si="55"/>
        <v>-1.1434627905216124</v>
      </c>
      <c r="W226" s="28"/>
      <c r="X226" s="20">
        <v>1</v>
      </c>
      <c r="Y226" s="29" t="s">
        <v>63</v>
      </c>
      <c r="Z226" s="8" t="s">
        <v>32</v>
      </c>
      <c r="AA226" s="29" t="s">
        <v>48</v>
      </c>
    </row>
    <row r="227" spans="1:27" ht="18.75" customHeight="1" x14ac:dyDescent="0.2">
      <c r="A227" s="20" t="s">
        <v>318</v>
      </c>
      <c r="B227" s="21" t="s">
        <v>77</v>
      </c>
      <c r="C227" s="21">
        <v>2020</v>
      </c>
      <c r="D227" s="22" t="s">
        <v>345</v>
      </c>
      <c r="E227" s="20" t="s">
        <v>346</v>
      </c>
      <c r="F227" s="21">
        <v>4</v>
      </c>
      <c r="G227" s="20">
        <v>14</v>
      </c>
      <c r="H227" s="20"/>
      <c r="I227" s="24">
        <v>76.7</v>
      </c>
      <c r="J227" s="25">
        <v>11</v>
      </c>
      <c r="K227" s="21">
        <v>19</v>
      </c>
      <c r="L227" s="26">
        <v>1042</v>
      </c>
      <c r="M227" s="26"/>
      <c r="N227" s="24">
        <v>70.599999999999994</v>
      </c>
      <c r="O227" s="25">
        <v>9</v>
      </c>
      <c r="P227" s="21">
        <v>19</v>
      </c>
      <c r="Q227" s="21"/>
      <c r="R227" s="27">
        <f t="shared" si="52"/>
        <v>-0.60697268602809429</v>
      </c>
      <c r="S227" s="20">
        <v>-1</v>
      </c>
      <c r="T227" s="23">
        <f t="shared" si="53"/>
        <v>0.60697268602809429</v>
      </c>
      <c r="U227" s="23">
        <f t="shared" si="54"/>
        <v>0.59423899331421826</v>
      </c>
      <c r="V227" s="23">
        <f t="shared" si="55"/>
        <v>0.66355866355866444</v>
      </c>
      <c r="W227" s="28"/>
      <c r="X227" s="20"/>
      <c r="AA227" s="29"/>
    </row>
    <row r="228" spans="1:27" ht="18.75" customHeight="1" x14ac:dyDescent="0.2">
      <c r="A228" s="20" t="s">
        <v>318</v>
      </c>
      <c r="B228" s="86" t="s">
        <v>518</v>
      </c>
      <c r="C228" s="98">
        <v>2021</v>
      </c>
      <c r="D228" s="99" t="s">
        <v>603</v>
      </c>
      <c r="E228" s="20"/>
      <c r="F228" s="21">
        <v>5</v>
      </c>
      <c r="G228" s="20"/>
      <c r="H228" s="20"/>
      <c r="I228" s="24">
        <v>29</v>
      </c>
      <c r="J228" s="25">
        <f>(40-32)/1.35</f>
        <v>5.9259259259259256</v>
      </c>
      <c r="K228" s="21">
        <v>19</v>
      </c>
      <c r="L228" s="26">
        <v>890</v>
      </c>
      <c r="M228" s="26"/>
      <c r="N228" s="24">
        <v>20</v>
      </c>
      <c r="O228" s="25">
        <f>(25-18)/1.35</f>
        <v>5.1851851851851851</v>
      </c>
      <c r="P228" s="21">
        <v>25</v>
      </c>
      <c r="Q228" s="21"/>
      <c r="R228" s="27">
        <f t="shared" si="52"/>
        <v>-1.6164119557277066</v>
      </c>
      <c r="S228" s="20">
        <v>1</v>
      </c>
      <c r="T228" s="97">
        <f>(N228-I228)/SQRT((((P228-1)*O228^2) + ((K228-1)*J228^2))/(P228+K228-2))*S228</f>
        <v>-1.6319597194089062</v>
      </c>
      <c r="U228" s="97">
        <f>T228*(1-(3/(4*(K228+P228-2) -1)))</f>
        <v>-1.602643077742878</v>
      </c>
      <c r="V228" s="97">
        <f t="shared" si="55"/>
        <v>-1.7045337895637296</v>
      </c>
      <c r="W228" s="28"/>
      <c r="X228" s="20">
        <v>1</v>
      </c>
      <c r="Z228" s="8" t="s">
        <v>32</v>
      </c>
      <c r="AA228" s="29"/>
    </row>
    <row r="229" spans="1:27" ht="18.75" customHeight="1" x14ac:dyDescent="0.2">
      <c r="B229" s="8"/>
      <c r="D229" s="8"/>
      <c r="E229" s="20"/>
      <c r="F229" s="20">
        <v>5</v>
      </c>
      <c r="G229" s="20">
        <v>15</v>
      </c>
      <c r="H229" s="20"/>
      <c r="I229" s="24"/>
      <c r="J229" s="25">
        <f>AVERAGE(J214:J227)</f>
        <v>16.527142857142856</v>
      </c>
      <c r="K229" s="37">
        <f>SUM(K227,K226,K225,K220)</f>
        <v>159</v>
      </c>
      <c r="L229" s="54">
        <f>AVERAGE(L227,L226,L225,L220)</f>
        <v>860.45</v>
      </c>
      <c r="M229" s="54"/>
      <c r="N229" s="34"/>
      <c r="O229" s="25">
        <f>AVERAGE(O214:O227)</f>
        <v>15.127857142857142</v>
      </c>
      <c r="P229" s="37">
        <f>SUM(P227,P226,P225,P220)</f>
        <v>120</v>
      </c>
      <c r="Q229" s="21"/>
      <c r="R229" s="27"/>
      <c r="S229" s="20"/>
      <c r="T229" s="41">
        <f>AVERAGE(T214:T227)</f>
        <v>-0.36914105575323714</v>
      </c>
      <c r="U229" s="41">
        <f>AVERAGE(U214:U227)</f>
        <v>-0.36650510384976981</v>
      </c>
      <c r="V229" s="41">
        <f>AVERAGE(V214:V227)</f>
        <v>-0.51136651525677923</v>
      </c>
      <c r="W229" s="28"/>
      <c r="X229" s="20"/>
      <c r="AA229" s="29"/>
    </row>
    <row r="230" spans="1:27" ht="18.75" customHeight="1" x14ac:dyDescent="0.2">
      <c r="A230" s="20"/>
      <c r="B230" s="20"/>
      <c r="C230" s="21"/>
      <c r="E230" s="20"/>
      <c r="F230" s="20"/>
      <c r="G230" s="20"/>
      <c r="H230" s="20"/>
      <c r="I230" s="34"/>
      <c r="J230" s="45"/>
      <c r="K230" s="20"/>
      <c r="L230" s="26"/>
      <c r="M230" s="26"/>
      <c r="N230" s="34"/>
      <c r="O230" s="45"/>
      <c r="P230" s="20"/>
      <c r="Q230" s="20"/>
      <c r="R230" s="27"/>
      <c r="S230" s="20"/>
      <c r="T230" s="44">
        <f>STDEV(T214:T227)</f>
        <v>0.42100743392434009</v>
      </c>
      <c r="U230" s="44">
        <f>STDEV(U214:U227)</f>
        <v>0.41603804767301472</v>
      </c>
      <c r="V230" s="44">
        <f>STDEV(V214:V227)</f>
        <v>0.58164806665334379</v>
      </c>
      <c r="W230" s="28"/>
      <c r="X230" s="20"/>
      <c r="AA230" s="29"/>
    </row>
    <row r="231" spans="1:27" ht="18.75" customHeight="1" x14ac:dyDescent="0.2">
      <c r="A231" s="20" t="s">
        <v>347</v>
      </c>
      <c r="B231" s="20" t="s">
        <v>127</v>
      </c>
      <c r="C231" s="21">
        <v>2018</v>
      </c>
      <c r="D231" s="22" t="s">
        <v>348</v>
      </c>
      <c r="E231" s="20" t="s">
        <v>349</v>
      </c>
      <c r="F231" s="20">
        <v>1</v>
      </c>
      <c r="G231" s="20">
        <v>1</v>
      </c>
      <c r="H231" s="20"/>
      <c r="I231" s="24">
        <v>704.5</v>
      </c>
      <c r="J231" s="25">
        <v>147.30000000000001</v>
      </c>
      <c r="K231" s="21">
        <v>15</v>
      </c>
      <c r="L231" s="26">
        <v>751.2</v>
      </c>
      <c r="M231" s="26"/>
      <c r="N231" s="24">
        <v>679</v>
      </c>
      <c r="O231" s="25">
        <v>143.1</v>
      </c>
      <c r="P231" s="21">
        <v>24</v>
      </c>
      <c r="Q231" s="21"/>
      <c r="R231" s="27">
        <f t="shared" ref="R231:R237" si="56">(N231-I231)/SQRT((O231^2+J231^2)/2)</f>
        <v>-0.17560147013923155</v>
      </c>
      <c r="S231" s="20">
        <v>1</v>
      </c>
      <c r="T231" s="23">
        <f t="shared" ref="T231:T237" si="57">(N231-I231)/SQRT((((P231-1)*O231^2) + ((K231-1)*J231^2))/(P231+K231-2))*S231</f>
        <v>-0.17622238131814019</v>
      </c>
      <c r="U231" s="23">
        <f t="shared" ref="U231:U237" si="58">T231*(1-(3/(4*(K231+P231-2) -1)))</f>
        <v>-0.17262600618919854</v>
      </c>
      <c r="V231" s="23">
        <f t="shared" ref="V231:V237" si="59">((N231-I231)/O231)*S231 * (1-(3/(4*(K231+P231-2)-1)))</f>
        <v>-0.17456039019381336</v>
      </c>
      <c r="W231" s="28"/>
      <c r="X231" s="20">
        <v>1</v>
      </c>
      <c r="Y231" s="29" t="s">
        <v>63</v>
      </c>
      <c r="Z231" s="8" t="s">
        <v>32</v>
      </c>
      <c r="AA231" s="29" t="s">
        <v>48</v>
      </c>
    </row>
    <row r="232" spans="1:27" ht="18.75" customHeight="1" x14ac:dyDescent="0.2">
      <c r="A232" s="20" t="s">
        <v>347</v>
      </c>
      <c r="B232" s="20" t="s">
        <v>60</v>
      </c>
      <c r="C232" s="21">
        <v>2017</v>
      </c>
      <c r="D232" s="22" t="s">
        <v>350</v>
      </c>
      <c r="E232" s="20" t="s">
        <v>351</v>
      </c>
      <c r="F232" s="20">
        <v>1</v>
      </c>
      <c r="G232" s="20">
        <v>2</v>
      </c>
      <c r="H232" s="20"/>
      <c r="I232" s="24">
        <v>897</v>
      </c>
      <c r="J232" s="25">
        <v>138.9</v>
      </c>
      <c r="K232" s="21">
        <v>37</v>
      </c>
      <c r="L232" s="26">
        <v>720</v>
      </c>
      <c r="M232" s="26"/>
      <c r="N232" s="24">
        <v>835</v>
      </c>
      <c r="O232" s="25">
        <v>175.1</v>
      </c>
      <c r="P232" s="21">
        <v>30</v>
      </c>
      <c r="Q232" s="21"/>
      <c r="R232" s="27">
        <f t="shared" si="56"/>
        <v>-0.39230599355025614</v>
      </c>
      <c r="S232" s="20">
        <v>1</v>
      </c>
      <c r="T232" s="23">
        <f t="shared" si="57"/>
        <v>-0.39720296204612926</v>
      </c>
      <c r="U232" s="23">
        <f t="shared" si="58"/>
        <v>-0.39260215553594247</v>
      </c>
      <c r="V232" s="23">
        <f t="shared" si="59"/>
        <v>-0.3499820290225773</v>
      </c>
      <c r="W232" s="28"/>
      <c r="X232" s="20">
        <v>1</v>
      </c>
      <c r="Y232" s="29" t="s">
        <v>63</v>
      </c>
      <c r="Z232" s="8" t="s">
        <v>32</v>
      </c>
      <c r="AA232" s="29" t="s">
        <v>48</v>
      </c>
    </row>
    <row r="233" spans="1:27" ht="18.75" customHeight="1" x14ac:dyDescent="0.2">
      <c r="A233" s="20" t="s">
        <v>347</v>
      </c>
      <c r="B233" s="20" t="s">
        <v>60</v>
      </c>
      <c r="C233" s="21">
        <v>2017</v>
      </c>
      <c r="D233" s="22" t="s">
        <v>352</v>
      </c>
      <c r="E233" s="20" t="s">
        <v>353</v>
      </c>
      <c r="F233" s="20">
        <v>1</v>
      </c>
      <c r="G233" s="20">
        <v>3</v>
      </c>
      <c r="H233" s="20"/>
      <c r="I233" s="24">
        <v>731</v>
      </c>
      <c r="J233" s="25">
        <v>141.80000000000001</v>
      </c>
      <c r="K233" s="21">
        <v>37</v>
      </c>
      <c r="L233" s="26">
        <v>720</v>
      </c>
      <c r="M233" s="26"/>
      <c r="N233" s="24">
        <v>617</v>
      </c>
      <c r="O233" s="25">
        <v>98.2</v>
      </c>
      <c r="P233" s="21">
        <v>30</v>
      </c>
      <c r="Q233" s="21"/>
      <c r="R233" s="27">
        <f t="shared" si="56"/>
        <v>-0.9347013299102096</v>
      </c>
      <c r="S233" s="20">
        <v>1</v>
      </c>
      <c r="T233" s="23">
        <f t="shared" si="57"/>
        <v>-0.91748649844483676</v>
      </c>
      <c r="U233" s="23">
        <f t="shared" si="58"/>
        <v>-0.90685924170609356</v>
      </c>
      <c r="V233" s="23">
        <f t="shared" si="59"/>
        <v>-1.1474494570217584</v>
      </c>
      <c r="W233" s="28"/>
      <c r="X233" s="20">
        <v>1</v>
      </c>
      <c r="Y233" s="29" t="s">
        <v>63</v>
      </c>
      <c r="Z233" s="8" t="s">
        <v>32</v>
      </c>
      <c r="AA233" s="29" t="s">
        <v>48</v>
      </c>
    </row>
    <row r="234" spans="1:27" ht="18.75" customHeight="1" x14ac:dyDescent="0.2">
      <c r="A234" s="20" t="s">
        <v>347</v>
      </c>
      <c r="B234" s="20" t="s">
        <v>60</v>
      </c>
      <c r="C234" s="21">
        <v>2017</v>
      </c>
      <c r="D234" s="22" t="s">
        <v>354</v>
      </c>
      <c r="E234" s="20" t="s">
        <v>355</v>
      </c>
      <c r="F234" s="20">
        <v>1</v>
      </c>
      <c r="G234" s="20">
        <v>4</v>
      </c>
      <c r="H234" s="20"/>
      <c r="I234" s="24">
        <v>574</v>
      </c>
      <c r="J234" s="25">
        <v>120</v>
      </c>
      <c r="K234" s="21">
        <v>37</v>
      </c>
      <c r="L234" s="26">
        <v>720</v>
      </c>
      <c r="M234" s="26"/>
      <c r="N234" s="24">
        <v>507</v>
      </c>
      <c r="O234" s="25">
        <v>93.3</v>
      </c>
      <c r="P234" s="21">
        <v>30</v>
      </c>
      <c r="Q234" s="21"/>
      <c r="R234" s="27">
        <f t="shared" si="56"/>
        <v>-0.62335844560987985</v>
      </c>
      <c r="S234" s="20">
        <v>1</v>
      </c>
      <c r="T234" s="23">
        <f t="shared" si="57"/>
        <v>-0.61524607216505411</v>
      </c>
      <c r="U234" s="23">
        <f t="shared" si="58"/>
        <v>-0.60811966978476395</v>
      </c>
      <c r="V234" s="23">
        <f t="shared" si="59"/>
        <v>-0.70979569371852336</v>
      </c>
      <c r="W234" s="28"/>
      <c r="X234" s="20">
        <v>1</v>
      </c>
      <c r="Y234" s="29" t="s">
        <v>63</v>
      </c>
      <c r="Z234" s="8" t="s">
        <v>32</v>
      </c>
      <c r="AA234" s="29" t="s">
        <v>48</v>
      </c>
    </row>
    <row r="235" spans="1:27" ht="18.75" customHeight="1" x14ac:dyDescent="0.2">
      <c r="A235" s="20" t="s">
        <v>347</v>
      </c>
      <c r="B235" s="20" t="s">
        <v>60</v>
      </c>
      <c r="C235" s="21">
        <v>2017</v>
      </c>
      <c r="D235" s="22" t="s">
        <v>356</v>
      </c>
      <c r="E235" s="20" t="s">
        <v>357</v>
      </c>
      <c r="F235" s="20">
        <v>1</v>
      </c>
      <c r="G235" s="20">
        <v>5</v>
      </c>
      <c r="H235" s="20"/>
      <c r="I235" s="24">
        <v>795</v>
      </c>
      <c r="J235" s="25">
        <v>296.7</v>
      </c>
      <c r="K235" s="21">
        <v>37</v>
      </c>
      <c r="L235" s="26">
        <v>720</v>
      </c>
      <c r="M235" s="26"/>
      <c r="N235" s="24">
        <v>604</v>
      </c>
      <c r="O235" s="25">
        <v>103.6</v>
      </c>
      <c r="P235" s="21">
        <v>30</v>
      </c>
      <c r="Q235" s="21"/>
      <c r="R235" s="27">
        <f t="shared" si="56"/>
        <v>-0.85950688414051912</v>
      </c>
      <c r="S235" s="20">
        <v>1</v>
      </c>
      <c r="T235" s="23">
        <f t="shared" si="57"/>
        <v>-0.82542471718316868</v>
      </c>
      <c r="U235" s="23">
        <f t="shared" si="58"/>
        <v>-0.81586381312313194</v>
      </c>
      <c r="V235" s="23">
        <f t="shared" si="59"/>
        <v>-1.8222745635873052</v>
      </c>
      <c r="W235" s="28"/>
      <c r="X235" s="20">
        <v>1</v>
      </c>
      <c r="Y235" s="29" t="s">
        <v>63</v>
      </c>
      <c r="Z235" s="8" t="s">
        <v>32</v>
      </c>
      <c r="AA235" s="29" t="s">
        <v>48</v>
      </c>
    </row>
    <row r="236" spans="1:27" ht="18.75" customHeight="1" x14ac:dyDescent="0.2">
      <c r="A236" s="20" t="s">
        <v>347</v>
      </c>
      <c r="B236" s="20" t="s">
        <v>106</v>
      </c>
      <c r="C236" s="21">
        <v>2011</v>
      </c>
      <c r="D236" s="22" t="s">
        <v>358</v>
      </c>
      <c r="E236" s="20" t="s">
        <v>359</v>
      </c>
      <c r="F236" s="20">
        <v>2</v>
      </c>
      <c r="G236" s="20">
        <v>6</v>
      </c>
      <c r="H236" s="20"/>
      <c r="I236" s="24">
        <v>879.9</v>
      </c>
      <c r="J236" s="25">
        <v>120.7</v>
      </c>
      <c r="K236" s="21">
        <v>9</v>
      </c>
      <c r="L236" s="26">
        <v>1140</v>
      </c>
      <c r="M236" s="26"/>
      <c r="N236" s="24">
        <v>889</v>
      </c>
      <c r="O236" s="25">
        <v>154.1</v>
      </c>
      <c r="P236" s="21">
        <v>15</v>
      </c>
      <c r="Q236" s="21"/>
      <c r="R236" s="27">
        <f t="shared" si="56"/>
        <v>6.5746142240099809E-2</v>
      </c>
      <c r="S236" s="20">
        <v>1</v>
      </c>
      <c r="T236" s="23">
        <f t="shared" si="57"/>
        <v>6.369832107915141E-2</v>
      </c>
      <c r="U236" s="23">
        <f t="shared" si="58"/>
        <v>6.150182724883585E-2</v>
      </c>
      <c r="V236" s="23">
        <f t="shared" si="59"/>
        <v>5.7016267985410429E-2</v>
      </c>
      <c r="W236" s="28"/>
      <c r="X236" s="20">
        <v>1</v>
      </c>
      <c r="Y236" s="29" t="s">
        <v>63</v>
      </c>
      <c r="Z236" s="29" t="s">
        <v>109</v>
      </c>
      <c r="AA236" s="29" t="s">
        <v>48</v>
      </c>
    </row>
    <row r="237" spans="1:27" ht="18.75" customHeight="1" x14ac:dyDescent="0.2">
      <c r="A237" s="20" t="s">
        <v>347</v>
      </c>
      <c r="B237" s="20" t="s">
        <v>110</v>
      </c>
      <c r="C237" s="21">
        <v>2011</v>
      </c>
      <c r="D237" s="22" t="s">
        <v>358</v>
      </c>
      <c r="E237" s="20" t="s">
        <v>360</v>
      </c>
      <c r="F237" s="20">
        <v>3</v>
      </c>
      <c r="G237" s="20">
        <v>7</v>
      </c>
      <c r="H237" s="20"/>
      <c r="I237" s="24">
        <v>863.3</v>
      </c>
      <c r="J237" s="25">
        <v>175.1</v>
      </c>
      <c r="K237" s="21">
        <v>8</v>
      </c>
      <c r="L237" s="26">
        <v>1210</v>
      </c>
      <c r="M237" s="26"/>
      <c r="N237" s="24">
        <v>838.1</v>
      </c>
      <c r="O237" s="25">
        <v>135.5</v>
      </c>
      <c r="P237" s="21">
        <v>15</v>
      </c>
      <c r="Q237" s="21"/>
      <c r="R237" s="27">
        <f t="shared" si="56"/>
        <v>-0.16096362105408038</v>
      </c>
      <c r="S237" s="20">
        <v>1</v>
      </c>
      <c r="T237" s="23">
        <f t="shared" si="57"/>
        <v>-0.16814889638061556</v>
      </c>
      <c r="U237" s="23">
        <f t="shared" si="58"/>
        <v>-0.16207122542709934</v>
      </c>
      <c r="V237" s="23">
        <f t="shared" si="59"/>
        <v>-0.17925576846129859</v>
      </c>
      <c r="W237" s="28"/>
      <c r="X237" s="20">
        <v>1</v>
      </c>
      <c r="Y237" s="29" t="s">
        <v>63</v>
      </c>
      <c r="Z237" s="29" t="s">
        <v>109</v>
      </c>
      <c r="AA237" s="29" t="s">
        <v>48</v>
      </c>
    </row>
    <row r="238" spans="1:27" ht="18.75" customHeight="1" x14ac:dyDescent="0.2">
      <c r="A238" s="20"/>
      <c r="B238" s="20"/>
      <c r="C238" s="21"/>
      <c r="D238" s="43"/>
      <c r="E238" s="20"/>
      <c r="F238" s="20">
        <v>3</v>
      </c>
      <c r="G238" s="20">
        <v>7</v>
      </c>
      <c r="H238" s="20"/>
      <c r="I238" s="24"/>
      <c r="J238" s="25">
        <f>AVERAGE(J231:J237)</f>
        <v>162.92857142857142</v>
      </c>
      <c r="K238" s="38">
        <v>37</v>
      </c>
      <c r="L238" s="26">
        <v>720</v>
      </c>
      <c r="M238" s="26"/>
      <c r="N238" s="24"/>
      <c r="O238" s="25">
        <f>AVERAGE(O231:O237)</f>
        <v>128.98571428571429</v>
      </c>
      <c r="P238" s="38">
        <v>30</v>
      </c>
      <c r="Q238" s="21"/>
      <c r="R238" s="27"/>
      <c r="S238" s="20"/>
      <c r="T238" s="41">
        <f>AVERAGE(T231:T237)</f>
        <v>-0.43371902949411328</v>
      </c>
      <c r="U238" s="41">
        <f>AVERAGE(U231:U237)</f>
        <v>-0.42809146921677049</v>
      </c>
      <c r="V238" s="41">
        <f>AVERAGE(V231:V237)</f>
        <v>-0.61804309057426643</v>
      </c>
      <c r="W238" s="28"/>
      <c r="X238" s="20"/>
      <c r="Z238" s="29"/>
      <c r="AA238" s="29"/>
    </row>
    <row r="239" spans="1:27" ht="18.75" customHeight="1" x14ac:dyDescent="0.2">
      <c r="A239" s="20"/>
      <c r="B239" s="20"/>
      <c r="C239" s="21"/>
      <c r="D239" s="43"/>
      <c r="E239" s="20"/>
      <c r="F239" s="20"/>
      <c r="G239" s="20"/>
      <c r="H239" s="20"/>
      <c r="I239" s="24"/>
      <c r="J239" s="25"/>
      <c r="K239" s="38"/>
      <c r="L239" s="26"/>
      <c r="M239" s="26"/>
      <c r="N239" s="24"/>
      <c r="O239" s="25"/>
      <c r="P239" s="38"/>
      <c r="Q239" s="21"/>
      <c r="R239" s="27"/>
      <c r="S239" s="20"/>
      <c r="T239" s="44">
        <f>STDEV(T231:T237)</f>
        <v>0.36651644807583927</v>
      </c>
      <c r="U239" s="44">
        <f>STDEV(U231:U237)</f>
        <v>0.36262620421681585</v>
      </c>
      <c r="V239" s="44">
        <f>STDEV(V231:V237)</f>
        <v>0.66528642597218568</v>
      </c>
      <c r="W239" s="28"/>
      <c r="X239" s="20"/>
      <c r="Z239" s="29"/>
      <c r="AA239" s="29"/>
    </row>
    <row r="240" spans="1:27" ht="30.75" customHeight="1" x14ac:dyDescent="0.2">
      <c r="A240" s="20" t="s">
        <v>514</v>
      </c>
      <c r="B240" s="20" t="s">
        <v>127</v>
      </c>
      <c r="C240" s="21">
        <v>2018</v>
      </c>
      <c r="D240" s="22" t="s">
        <v>361</v>
      </c>
      <c r="E240" s="20" t="s">
        <v>362</v>
      </c>
      <c r="F240" s="20">
        <v>1</v>
      </c>
      <c r="G240" s="20">
        <v>1</v>
      </c>
      <c r="H240" s="20"/>
      <c r="I240" s="24">
        <v>0.4</v>
      </c>
      <c r="J240" s="25">
        <v>2</v>
      </c>
      <c r="K240" s="21">
        <v>15</v>
      </c>
      <c r="L240" s="26">
        <v>751.2</v>
      </c>
      <c r="M240" s="26"/>
      <c r="N240" s="24">
        <v>0.2</v>
      </c>
      <c r="O240" s="25">
        <v>1.8</v>
      </c>
      <c r="P240" s="21">
        <v>24</v>
      </c>
      <c r="Q240" s="21"/>
      <c r="R240" s="27">
        <f t="shared" ref="R240:R248" si="60">(N240-I240)/SQRT((O240^2+J240^2)/2)</f>
        <v>-0.10511766624552735</v>
      </c>
      <c r="S240" s="20">
        <v>1</v>
      </c>
      <c r="T240" s="23">
        <f t="shared" ref="T240:T245" si="61">(N240-I240)/SQRT((((P240-1)*O240^2) + ((K240-1)*J240^2))/(P240+K240-2))*S240</f>
        <v>-0.10648595377424454</v>
      </c>
      <c r="U240" s="23">
        <f t="shared" ref="U240:U245" si="62">T240*(1-(3/(4*(K240+P240-2) -1)))</f>
        <v>-0.10431277104415791</v>
      </c>
      <c r="V240" s="23">
        <f t="shared" ref="V240:V245" si="63">((N240-I240)/O240)*S240 * (1-(3/(4*(K240+P240-2)-1)))</f>
        <v>-0.108843537414966</v>
      </c>
      <c r="W240" s="28"/>
      <c r="X240" s="20">
        <v>1</v>
      </c>
      <c r="Y240" s="29" t="s">
        <v>63</v>
      </c>
      <c r="Z240" s="8" t="s">
        <v>32</v>
      </c>
      <c r="AA240" s="29" t="s">
        <v>48</v>
      </c>
    </row>
    <row r="241" spans="1:27" ht="18.75" customHeight="1" x14ac:dyDescent="0.2">
      <c r="A241" s="20" t="s">
        <v>514</v>
      </c>
      <c r="B241" s="20" t="s">
        <v>60</v>
      </c>
      <c r="C241" s="21">
        <v>2017</v>
      </c>
      <c r="D241" s="22" t="s">
        <v>363</v>
      </c>
      <c r="E241" s="20" t="s">
        <v>364</v>
      </c>
      <c r="F241" s="20">
        <v>1</v>
      </c>
      <c r="G241" s="20">
        <v>2</v>
      </c>
      <c r="H241" s="20"/>
      <c r="I241" s="24">
        <v>8.5</v>
      </c>
      <c r="J241" s="25">
        <v>11</v>
      </c>
      <c r="K241" s="21">
        <v>37</v>
      </c>
      <c r="L241" s="26">
        <v>720</v>
      </c>
      <c r="M241" s="26"/>
      <c r="N241" s="24">
        <v>7.1</v>
      </c>
      <c r="O241" s="25">
        <v>5.0999999999999996</v>
      </c>
      <c r="P241" s="21">
        <v>30</v>
      </c>
      <c r="Q241" s="21"/>
      <c r="R241" s="27">
        <f t="shared" si="60"/>
        <v>-0.16329376207040713</v>
      </c>
      <c r="S241" s="20">
        <v>1</v>
      </c>
      <c r="T241" s="23">
        <f t="shared" si="61"/>
        <v>-0.15789265983573214</v>
      </c>
      <c r="U241" s="23">
        <f t="shared" si="62"/>
        <v>-0.15606378732798235</v>
      </c>
      <c r="V241" s="23">
        <f t="shared" si="63"/>
        <v>-0.27133015368309493</v>
      </c>
      <c r="W241" s="28"/>
      <c r="X241" s="20">
        <v>1</v>
      </c>
      <c r="Y241" s="29" t="s">
        <v>63</v>
      </c>
      <c r="Z241" s="8" t="s">
        <v>32</v>
      </c>
      <c r="AA241" s="29" t="s">
        <v>48</v>
      </c>
    </row>
    <row r="242" spans="1:27" ht="18.75" customHeight="1" x14ac:dyDescent="0.2">
      <c r="A242" s="20" t="s">
        <v>514</v>
      </c>
      <c r="B242" s="20" t="s">
        <v>60</v>
      </c>
      <c r="C242" s="21">
        <v>2017</v>
      </c>
      <c r="D242" s="22" t="s">
        <v>365</v>
      </c>
      <c r="E242" s="20" t="s">
        <v>366</v>
      </c>
      <c r="F242" s="20">
        <v>1</v>
      </c>
      <c r="G242" s="20">
        <v>3</v>
      </c>
      <c r="H242" s="20"/>
      <c r="I242" s="24">
        <v>0.1</v>
      </c>
      <c r="J242" s="25">
        <v>0.2</v>
      </c>
      <c r="K242" s="21">
        <v>37</v>
      </c>
      <c r="L242" s="26">
        <v>720</v>
      </c>
      <c r="M242" s="26"/>
      <c r="N242" s="24">
        <v>0.1</v>
      </c>
      <c r="O242" s="25">
        <v>0.2</v>
      </c>
      <c r="P242" s="21">
        <v>30</v>
      </c>
      <c r="Q242" s="21"/>
      <c r="R242" s="27">
        <f t="shared" si="60"/>
        <v>0</v>
      </c>
      <c r="S242" s="20">
        <v>1</v>
      </c>
      <c r="T242" s="23">
        <f t="shared" si="61"/>
        <v>0</v>
      </c>
      <c r="U242" s="23">
        <f t="shared" si="62"/>
        <v>0</v>
      </c>
      <c r="V242" s="23">
        <f t="shared" si="63"/>
        <v>0</v>
      </c>
      <c r="W242" s="28"/>
      <c r="X242" s="20">
        <v>1</v>
      </c>
      <c r="Y242" s="29" t="s">
        <v>63</v>
      </c>
      <c r="Z242" s="8" t="s">
        <v>32</v>
      </c>
      <c r="AA242" s="29" t="s">
        <v>48</v>
      </c>
    </row>
    <row r="243" spans="1:27" ht="18.75" customHeight="1" x14ac:dyDescent="0.2">
      <c r="A243" s="20" t="s">
        <v>514</v>
      </c>
      <c r="B243" s="20" t="s">
        <v>60</v>
      </c>
      <c r="C243" s="21">
        <v>2017</v>
      </c>
      <c r="D243" s="22" t="s">
        <v>367</v>
      </c>
      <c r="E243" s="20" t="s">
        <v>368</v>
      </c>
      <c r="F243" s="20">
        <v>1</v>
      </c>
      <c r="G243" s="20">
        <v>4</v>
      </c>
      <c r="H243" s="20"/>
      <c r="I243" s="24">
        <v>0.7</v>
      </c>
      <c r="J243" s="25">
        <v>1</v>
      </c>
      <c r="K243" s="21">
        <v>37</v>
      </c>
      <c r="L243" s="26">
        <v>720</v>
      </c>
      <c r="M243" s="26"/>
      <c r="N243" s="24">
        <v>0.6</v>
      </c>
      <c r="O243" s="25">
        <v>0.8</v>
      </c>
      <c r="P243" s="21">
        <v>30</v>
      </c>
      <c r="Q243" s="21"/>
      <c r="R243" s="27">
        <f t="shared" si="60"/>
        <v>-0.11043152607484651</v>
      </c>
      <c r="S243" s="20">
        <v>1</v>
      </c>
      <c r="T243" s="23">
        <f t="shared" si="61"/>
        <v>-0.10914893373767046</v>
      </c>
      <c r="U243" s="23">
        <f t="shared" si="62"/>
        <v>-0.10788466037391366</v>
      </c>
      <c r="V243" s="23">
        <f t="shared" si="63"/>
        <v>-0.12355212355212353</v>
      </c>
      <c r="W243" s="28"/>
      <c r="X243" s="20">
        <v>1</v>
      </c>
      <c r="Y243" s="29" t="s">
        <v>63</v>
      </c>
      <c r="Z243" s="8" t="s">
        <v>32</v>
      </c>
      <c r="AA243" s="29" t="s">
        <v>48</v>
      </c>
    </row>
    <row r="244" spans="1:27" ht="18.75" customHeight="1" x14ac:dyDescent="0.2">
      <c r="A244" s="20" t="s">
        <v>514</v>
      </c>
      <c r="B244" s="20" t="s">
        <v>60</v>
      </c>
      <c r="C244" s="21">
        <v>2017</v>
      </c>
      <c r="D244" s="22" t="s">
        <v>369</v>
      </c>
      <c r="E244" s="20" t="s">
        <v>370</v>
      </c>
      <c r="F244" s="20">
        <v>1</v>
      </c>
      <c r="G244" s="20">
        <v>5</v>
      </c>
      <c r="H244" s="20"/>
      <c r="I244" s="24">
        <v>7.9</v>
      </c>
      <c r="J244" s="25">
        <v>10.8</v>
      </c>
      <c r="K244" s="21">
        <v>37</v>
      </c>
      <c r="L244" s="26">
        <v>720</v>
      </c>
      <c r="M244" s="26"/>
      <c r="N244" s="24">
        <v>5.8</v>
      </c>
      <c r="O244" s="25">
        <v>5.7</v>
      </c>
      <c r="P244" s="21">
        <v>30</v>
      </c>
      <c r="Q244" s="21"/>
      <c r="R244" s="27">
        <f t="shared" si="60"/>
        <v>-0.24319339952292043</v>
      </c>
      <c r="S244" s="20">
        <v>1</v>
      </c>
      <c r="T244" s="23">
        <f t="shared" si="61"/>
        <v>-0.23612480474013478</v>
      </c>
      <c r="U244" s="23">
        <f t="shared" si="62"/>
        <v>-0.23338976839179346</v>
      </c>
      <c r="V244" s="23">
        <f t="shared" si="63"/>
        <v>-0.36415362731152212</v>
      </c>
      <c r="W244" s="28"/>
      <c r="X244" s="20">
        <v>1</v>
      </c>
      <c r="Y244" s="29" t="s">
        <v>63</v>
      </c>
      <c r="Z244" s="8" t="s">
        <v>32</v>
      </c>
      <c r="AA244" s="29" t="s">
        <v>48</v>
      </c>
    </row>
    <row r="245" spans="1:27" ht="18.75" customHeight="1" x14ac:dyDescent="0.2">
      <c r="A245" s="20" t="s">
        <v>514</v>
      </c>
      <c r="B245" s="20" t="s">
        <v>127</v>
      </c>
      <c r="C245" s="21">
        <v>2018</v>
      </c>
      <c r="D245" s="22" t="s">
        <v>371</v>
      </c>
      <c r="E245" s="20" t="s">
        <v>372</v>
      </c>
      <c r="F245" s="20">
        <v>1</v>
      </c>
      <c r="G245" s="20">
        <v>6</v>
      </c>
      <c r="H245" s="20"/>
      <c r="I245" s="34">
        <v>2.1</v>
      </c>
      <c r="J245" s="45">
        <v>1.4</v>
      </c>
      <c r="K245" s="20">
        <v>33</v>
      </c>
      <c r="L245" s="26">
        <v>751.2</v>
      </c>
      <c r="M245" s="26"/>
      <c r="N245" s="34">
        <v>1.8</v>
      </c>
      <c r="O245" s="45">
        <v>1.7</v>
      </c>
      <c r="P245" s="20">
        <v>32</v>
      </c>
      <c r="Q245" s="20"/>
      <c r="R245" s="27">
        <f t="shared" si="60"/>
        <v>-0.1926483897203807</v>
      </c>
      <c r="S245" s="20">
        <v>1</v>
      </c>
      <c r="T245" s="23">
        <f t="shared" si="61"/>
        <v>-0.19294224183996631</v>
      </c>
      <c r="U245" s="23">
        <f t="shared" si="62"/>
        <v>-0.19063615926817387</v>
      </c>
      <c r="V245" s="23">
        <f t="shared" si="63"/>
        <v>-0.17436137801734244</v>
      </c>
      <c r="W245" s="28"/>
      <c r="X245" s="20">
        <v>1</v>
      </c>
      <c r="Y245" s="29" t="s">
        <v>63</v>
      </c>
      <c r="Z245" s="8" t="s">
        <v>32</v>
      </c>
      <c r="AA245" s="29" t="s">
        <v>48</v>
      </c>
    </row>
    <row r="246" spans="1:27" ht="18.75" customHeight="1" x14ac:dyDescent="0.2">
      <c r="A246" s="20" t="s">
        <v>514</v>
      </c>
      <c r="B246" s="135" t="s">
        <v>509</v>
      </c>
      <c r="C246" s="21">
        <v>2021</v>
      </c>
      <c r="D246" s="22" t="s">
        <v>515</v>
      </c>
      <c r="E246" s="20"/>
      <c r="F246" s="20">
        <v>2</v>
      </c>
      <c r="G246" s="20">
        <v>7</v>
      </c>
      <c r="H246" s="20"/>
      <c r="I246" s="34">
        <v>36</v>
      </c>
      <c r="J246" s="45">
        <v>0</v>
      </c>
      <c r="K246" s="20">
        <v>19</v>
      </c>
      <c r="L246" s="26">
        <v>890</v>
      </c>
      <c r="M246" s="26"/>
      <c r="N246" s="34">
        <v>36</v>
      </c>
      <c r="O246" s="45">
        <v>0</v>
      </c>
      <c r="P246" s="20">
        <v>25</v>
      </c>
      <c r="Q246" s="20"/>
      <c r="R246" s="27">
        <v>0</v>
      </c>
      <c r="S246" s="20">
        <v>-1</v>
      </c>
      <c r="T246" s="97">
        <v>0</v>
      </c>
      <c r="U246" s="97">
        <f>T246*(1-(3/(4*(K246+P246-2) -1)))</f>
        <v>0</v>
      </c>
      <c r="V246" s="97">
        <v>0</v>
      </c>
      <c r="W246" s="28"/>
      <c r="X246" s="20"/>
      <c r="AA246" s="29"/>
    </row>
    <row r="247" spans="1:27" ht="18.75" customHeight="1" x14ac:dyDescent="0.2">
      <c r="A247" s="20" t="s">
        <v>514</v>
      </c>
      <c r="B247" s="135" t="s">
        <v>509</v>
      </c>
      <c r="C247" s="21">
        <v>2021</v>
      </c>
      <c r="D247" s="22" t="s">
        <v>516</v>
      </c>
      <c r="E247" s="20"/>
      <c r="F247" s="20">
        <v>2</v>
      </c>
      <c r="G247" s="20">
        <v>8</v>
      </c>
      <c r="H247" s="20"/>
      <c r="I247" s="34">
        <v>15</v>
      </c>
      <c r="J247" s="45">
        <f>(15-14)/4</f>
        <v>0.25</v>
      </c>
      <c r="K247" s="20">
        <v>19</v>
      </c>
      <c r="L247" s="26">
        <v>890</v>
      </c>
      <c r="M247" s="26"/>
      <c r="N247" s="34">
        <v>15</v>
      </c>
      <c r="O247" s="45">
        <v>0</v>
      </c>
      <c r="P247" s="20">
        <v>25</v>
      </c>
      <c r="Q247" s="20"/>
      <c r="R247" s="27">
        <f t="shared" si="60"/>
        <v>0</v>
      </c>
      <c r="S247" s="20">
        <v>-1</v>
      </c>
      <c r="T247" s="97">
        <f>(N247-I247)/SQRT((((P247-1)*O247^2) + ((K247-1)*J247^2))/(P247+K247-2))*S247</f>
        <v>0</v>
      </c>
      <c r="U247" s="97">
        <f>T247*(1-(3/(4*(K247+P247-2) -1)))</f>
        <v>0</v>
      </c>
      <c r="V247" s="97">
        <v>0</v>
      </c>
      <c r="W247" s="28"/>
      <c r="X247" s="20"/>
      <c r="AA247" s="29"/>
    </row>
    <row r="248" spans="1:27" ht="18.75" customHeight="1" x14ac:dyDescent="0.2">
      <c r="A248" s="20" t="s">
        <v>514</v>
      </c>
      <c r="B248" s="135" t="s">
        <v>509</v>
      </c>
      <c r="C248" s="21">
        <v>2021</v>
      </c>
      <c r="D248" s="22" t="s">
        <v>517</v>
      </c>
      <c r="E248" s="20"/>
      <c r="F248" s="20">
        <v>2</v>
      </c>
      <c r="G248" s="20">
        <v>9</v>
      </c>
      <c r="H248" s="20"/>
      <c r="I248" s="34">
        <v>33</v>
      </c>
      <c r="J248" s="45">
        <f>(36-30)/1.35</f>
        <v>4.4444444444444438</v>
      </c>
      <c r="K248" s="20">
        <v>19</v>
      </c>
      <c r="L248" s="26">
        <v>890</v>
      </c>
      <c r="M248" s="26"/>
      <c r="N248" s="34">
        <v>35</v>
      </c>
      <c r="O248" s="45">
        <f>(35-33)/1.35</f>
        <v>1.4814814814814814</v>
      </c>
      <c r="P248" s="20">
        <v>25</v>
      </c>
      <c r="Q248" s="20"/>
      <c r="R248" s="27">
        <f t="shared" si="60"/>
        <v>0.60373835392494324</v>
      </c>
      <c r="S248" s="20">
        <v>-1</v>
      </c>
      <c r="T248" s="97">
        <f>(N248-I248)/SQRT((((P248-1)*O248^2) + ((K248-1)*J248^2))/(P248+K248-2))*S248</f>
        <v>-0.64150780047051359</v>
      </c>
      <c r="U248" s="97">
        <f>T248*(1-(3/(4*(K248+P248-2) -1)))</f>
        <v>-0.62998370824649241</v>
      </c>
      <c r="V248" s="97">
        <f>((N248-I248)/O248)*S248 * (1-(3/(4*(K248+P248-2)-1)))</f>
        <v>-1.3257485029940119</v>
      </c>
      <c r="W248" s="28"/>
      <c r="X248" s="20"/>
      <c r="AA248" s="29"/>
    </row>
    <row r="249" spans="1:27" ht="18.75" customHeight="1" x14ac:dyDescent="0.2">
      <c r="A249" s="20"/>
      <c r="B249" s="20"/>
      <c r="C249" s="21"/>
      <c r="D249" s="22"/>
      <c r="E249" s="20"/>
      <c r="F249" s="20">
        <v>2</v>
      </c>
      <c r="G249" s="20">
        <v>9</v>
      </c>
      <c r="H249" s="20"/>
      <c r="I249" s="24"/>
      <c r="J249" s="25">
        <f>AVERAGE(J240:J247)</f>
        <v>3.3312499999999998</v>
      </c>
      <c r="K249" s="38">
        <v>37</v>
      </c>
      <c r="L249" s="26">
        <v>720</v>
      </c>
      <c r="M249" s="26"/>
      <c r="N249" s="24"/>
      <c r="O249" s="25">
        <f>AVERAGE(O240:O247)</f>
        <v>1.9124999999999999</v>
      </c>
      <c r="P249" s="38">
        <v>30</v>
      </c>
      <c r="Q249" s="21"/>
      <c r="R249" s="27"/>
      <c r="S249" s="20"/>
      <c r="T249" s="41">
        <f>AVERAGE(T240:T248)</f>
        <v>-0.16045582159980687</v>
      </c>
      <c r="U249" s="41">
        <f>AVERAGE(U240:U248)</f>
        <v>-0.15803009496139042</v>
      </c>
      <c r="V249" s="41">
        <f>AVERAGE(V240:V248)</f>
        <v>-0.26310992477478456</v>
      </c>
      <c r="W249" s="28"/>
      <c r="X249" s="20"/>
      <c r="AA249" s="29"/>
    </row>
    <row r="250" spans="1:27" ht="18.75" customHeight="1" x14ac:dyDescent="0.2">
      <c r="A250" s="20"/>
      <c r="B250" s="20"/>
      <c r="C250" s="21"/>
      <c r="D250" s="22"/>
      <c r="E250" s="20"/>
      <c r="F250" s="20"/>
      <c r="G250" s="20"/>
      <c r="H250" s="20"/>
      <c r="I250" s="24"/>
      <c r="J250" s="25"/>
      <c r="K250" s="21"/>
      <c r="L250" s="26"/>
      <c r="M250" s="26"/>
      <c r="N250" s="24"/>
      <c r="O250" s="25"/>
      <c r="P250" s="21"/>
      <c r="Q250" s="21"/>
      <c r="R250" s="27"/>
      <c r="S250" s="20"/>
      <c r="T250" s="44">
        <f>STDEV(T240:T247)</f>
        <v>9.3078086988311728E-2</v>
      </c>
      <c r="U250" s="44">
        <f>STDEV(U240:U247)</f>
        <v>9.1981538347594746E-2</v>
      </c>
      <c r="V250" s="44">
        <f>STDEV(V240:V247)</f>
        <v>0.13520281524084726</v>
      </c>
      <c r="W250" s="28"/>
      <c r="X250" s="20"/>
      <c r="AA250" s="29"/>
    </row>
    <row r="251" spans="1:27" ht="18.75" customHeight="1" x14ac:dyDescent="0.2">
      <c r="A251" s="20" t="s">
        <v>373</v>
      </c>
      <c r="B251" s="20" t="s">
        <v>60</v>
      </c>
      <c r="C251" s="21">
        <v>2017</v>
      </c>
      <c r="D251" s="22" t="s">
        <v>374</v>
      </c>
      <c r="E251" s="20" t="s">
        <v>375</v>
      </c>
      <c r="F251" s="20">
        <v>1</v>
      </c>
      <c r="G251" s="20">
        <v>1</v>
      </c>
      <c r="H251" s="20"/>
      <c r="I251" s="24">
        <v>3.9</v>
      </c>
      <c r="J251" s="25">
        <v>4.7</v>
      </c>
      <c r="K251" s="21">
        <v>37</v>
      </c>
      <c r="L251" s="26">
        <v>720</v>
      </c>
      <c r="M251" s="26"/>
      <c r="N251" s="24">
        <v>4.8</v>
      </c>
      <c r="O251" s="25">
        <v>5.7</v>
      </c>
      <c r="P251" s="21">
        <v>30</v>
      </c>
      <c r="Q251" s="21"/>
      <c r="R251" s="27">
        <f>(N251-I251)/SQRT((O251^2+J251^2)/2)</f>
        <v>0.172282331959664</v>
      </c>
      <c r="S251" s="20">
        <v>1</v>
      </c>
      <c r="T251" s="23">
        <f>(N251-I251)/SQRT((((P251-1)*O251^2) + ((K251-1)*J251^2))/(P251+K251-2))*S251</f>
        <v>0.1740776559556978</v>
      </c>
      <c r="U251" s="23">
        <f t="shared" ref="U251:U256" si="64">T251*(1-(3/(4*(K251+P251-2) -1)))</f>
        <v>0.17206131245041945</v>
      </c>
      <c r="V251" s="23">
        <f>((N251-I251)/O251)*S251 * (1-(3/(4*(K251+P251-2)-1)))</f>
        <v>0.15606584027636658</v>
      </c>
      <c r="W251" s="28"/>
      <c r="X251" s="20">
        <v>1</v>
      </c>
      <c r="Y251" s="29" t="s">
        <v>63</v>
      </c>
      <c r="Z251" s="8" t="s">
        <v>32</v>
      </c>
      <c r="AA251" s="29" t="s">
        <v>48</v>
      </c>
    </row>
    <row r="252" spans="1:27" ht="18.75" customHeight="1" x14ac:dyDescent="0.2">
      <c r="A252" s="20" t="s">
        <v>373</v>
      </c>
      <c r="B252" s="20" t="s">
        <v>60</v>
      </c>
      <c r="C252" s="21">
        <v>2017</v>
      </c>
      <c r="D252" s="22" t="s">
        <v>376</v>
      </c>
      <c r="E252" s="20" t="s">
        <v>377</v>
      </c>
      <c r="F252" s="20">
        <v>1</v>
      </c>
      <c r="G252" s="20">
        <v>2</v>
      </c>
      <c r="H252" s="20"/>
      <c r="I252" s="24">
        <v>13.3</v>
      </c>
      <c r="J252" s="25">
        <v>8.1999999999999993</v>
      </c>
      <c r="K252" s="21">
        <v>37</v>
      </c>
      <c r="L252" s="26">
        <v>720</v>
      </c>
      <c r="M252" s="26"/>
      <c r="N252" s="24">
        <v>11.9</v>
      </c>
      <c r="O252" s="25">
        <v>7.6</v>
      </c>
      <c r="P252" s="21">
        <v>30</v>
      </c>
      <c r="Q252" s="21"/>
      <c r="R252" s="27">
        <f>(N252-I252)/SQRT((O252^2+J252^2)/2)</f>
        <v>-0.1770875489694293</v>
      </c>
      <c r="S252" s="20">
        <v>1</v>
      </c>
      <c r="T252" s="23">
        <f>(N252-I252)/SQRT((((P252-1)*O252^2) + ((K252-1)*J252^2))/(P252+K252-2))*S252</f>
        <v>-0.17636877778397697</v>
      </c>
      <c r="U252" s="23">
        <f t="shared" si="64"/>
        <v>-0.17432589618802358</v>
      </c>
      <c r="V252" s="23">
        <f>((N252-I252)/O252)*S252 * (1-(3/(4*(K252+P252-2)-1)))</f>
        <v>-0.18207681365576106</v>
      </c>
      <c r="W252" s="28"/>
      <c r="X252" s="20">
        <v>1</v>
      </c>
      <c r="Y252" s="29" t="s">
        <v>63</v>
      </c>
      <c r="Z252" s="8" t="s">
        <v>32</v>
      </c>
      <c r="AA252" s="29" t="s">
        <v>48</v>
      </c>
    </row>
    <row r="253" spans="1:27" ht="18.75" customHeight="1" x14ac:dyDescent="0.2">
      <c r="A253" s="20"/>
      <c r="B253" s="20"/>
      <c r="C253" s="21"/>
      <c r="D253" s="43"/>
      <c r="E253" s="20"/>
      <c r="F253" s="20">
        <v>1</v>
      </c>
      <c r="G253" s="20">
        <v>2</v>
      </c>
      <c r="H253" s="20"/>
      <c r="I253" s="24"/>
      <c r="J253" s="25">
        <f>AVERAGE(J251:J252)</f>
        <v>6.4499999999999993</v>
      </c>
      <c r="K253" s="38">
        <v>37</v>
      </c>
      <c r="L253" s="26">
        <v>720</v>
      </c>
      <c r="M253" s="26"/>
      <c r="N253" s="24"/>
      <c r="O253" s="25">
        <f>AVERAGE(O251:O252)</f>
        <v>6.65</v>
      </c>
      <c r="P253" s="38">
        <v>30</v>
      </c>
      <c r="Q253" s="21"/>
      <c r="R253" s="27"/>
      <c r="S253" s="20"/>
      <c r="T253" s="41">
        <f>AVERAGE(T251:T252)</f>
        <v>-1.1455609141395873E-3</v>
      </c>
      <c r="U253" s="41">
        <f>AVERAGE(U251:U252)</f>
        <v>-1.1322918688020656E-3</v>
      </c>
      <c r="V253" s="41">
        <f>AVERAGE(V251:V252)</f>
        <v>-1.300548668969724E-2</v>
      </c>
      <c r="W253" s="28"/>
      <c r="X253" s="20"/>
      <c r="AA253" s="29"/>
    </row>
    <row r="254" spans="1:27" ht="18.75" customHeight="1" x14ac:dyDescent="0.2">
      <c r="A254" s="20"/>
      <c r="B254" s="20"/>
      <c r="C254" s="21"/>
      <c r="D254" s="43"/>
      <c r="E254" s="20"/>
      <c r="F254" s="20"/>
      <c r="G254" s="20"/>
      <c r="H254" s="20"/>
      <c r="I254" s="24"/>
      <c r="J254" s="25"/>
      <c r="K254" s="21"/>
      <c r="L254" s="26"/>
      <c r="M254" s="26"/>
      <c r="N254" s="24"/>
      <c r="O254" s="25"/>
      <c r="P254" s="21"/>
      <c r="Q254" s="21"/>
      <c r="R254" s="27"/>
      <c r="S254" s="20"/>
      <c r="T254" s="44">
        <f>STDEV(T251:T252)</f>
        <v>0.24780304973996614</v>
      </c>
      <c r="U254" s="44">
        <f>STDEV(U251:U252)</f>
        <v>0.24493274414452251</v>
      </c>
      <c r="V254" s="44">
        <f>STDEV(V251:V252)</f>
        <v>0.23910296360382344</v>
      </c>
      <c r="W254" s="28"/>
      <c r="X254" s="20"/>
      <c r="Z254" s="29"/>
      <c r="AA254" s="29"/>
    </row>
    <row r="255" spans="1:27" ht="18.75" customHeight="1" x14ac:dyDescent="0.2">
      <c r="A255" s="20" t="s">
        <v>378</v>
      </c>
      <c r="B255" s="20" t="s">
        <v>60</v>
      </c>
      <c r="C255" s="21">
        <v>2017</v>
      </c>
      <c r="D255" s="22" t="s">
        <v>379</v>
      </c>
      <c r="E255" s="20" t="s">
        <v>380</v>
      </c>
      <c r="F255" s="20">
        <v>1</v>
      </c>
      <c r="G255" s="20">
        <v>1</v>
      </c>
      <c r="H255" s="20"/>
      <c r="I255" s="34">
        <v>14.5</v>
      </c>
      <c r="J255" s="45">
        <v>13.1</v>
      </c>
      <c r="K255" s="20">
        <v>37</v>
      </c>
      <c r="L255" s="26">
        <v>720</v>
      </c>
      <c r="M255" s="26"/>
      <c r="N255" s="34">
        <v>11.2</v>
      </c>
      <c r="O255" s="45">
        <v>8.6999999999999993</v>
      </c>
      <c r="P255" s="20">
        <v>30</v>
      </c>
      <c r="Q255" s="20"/>
      <c r="R255" s="27">
        <f>(N255-I255)/SQRT((O255^2+J255^2)/2)</f>
        <v>-0.29676786992716719</v>
      </c>
      <c r="S255" s="20">
        <v>1</v>
      </c>
      <c r="T255" s="23">
        <f>(N255-I255)/SQRT((((P255-1)*O255^2) + ((K255-1)*J255^2))/(P255+K255-2))*S255</f>
        <v>-0.29075744951085403</v>
      </c>
      <c r="U255" s="23">
        <f t="shared" si="64"/>
        <v>-0.28738960260532292</v>
      </c>
      <c r="V255" s="23">
        <f>((N255-I255)/O255)*S255 * (1-(3/(4*(K255+P255-2)-1)))</f>
        <v>-0.37491678870989226</v>
      </c>
      <c r="W255" s="28"/>
      <c r="X255" s="20">
        <v>1</v>
      </c>
      <c r="Y255" s="29" t="s">
        <v>63</v>
      </c>
      <c r="Z255" s="8" t="s">
        <v>32</v>
      </c>
      <c r="AA255" s="29" t="s">
        <v>48</v>
      </c>
    </row>
    <row r="256" spans="1:27" ht="18.75" customHeight="1" x14ac:dyDescent="0.2">
      <c r="A256" s="20" t="s">
        <v>378</v>
      </c>
      <c r="B256" s="20" t="s">
        <v>60</v>
      </c>
      <c r="C256" s="21">
        <v>2017</v>
      </c>
      <c r="D256" s="22" t="s">
        <v>381</v>
      </c>
      <c r="E256" s="20" t="s">
        <v>382</v>
      </c>
      <c r="F256" s="20">
        <v>1</v>
      </c>
      <c r="G256" s="20">
        <v>2</v>
      </c>
      <c r="H256" s="20"/>
      <c r="I256" s="34">
        <v>10.9</v>
      </c>
      <c r="J256" s="45">
        <v>14.7</v>
      </c>
      <c r="K256" s="20">
        <v>37</v>
      </c>
      <c r="L256" s="26">
        <v>720</v>
      </c>
      <c r="M256" s="26"/>
      <c r="N256" s="34">
        <v>6.8</v>
      </c>
      <c r="O256" s="45">
        <v>6.6</v>
      </c>
      <c r="P256" s="20">
        <v>30</v>
      </c>
      <c r="Q256" s="20"/>
      <c r="R256" s="27">
        <f>(N256-I256)/SQRT((O256^2+J256^2)/2)</f>
        <v>-0.35983606683218988</v>
      </c>
      <c r="S256" s="20">
        <v>1</v>
      </c>
      <c r="T256" s="23">
        <f>(N256-I256)/SQRT((((P256-1)*O256^2) + ((K256-1)*J256^2))/(P256+K256-2))*S256</f>
        <v>-0.34761359776129364</v>
      </c>
      <c r="U256" s="23">
        <f t="shared" si="64"/>
        <v>-0.34358718543201228</v>
      </c>
      <c r="V256" s="23">
        <f>((N256-I256)/O256)*S256 * (1-(3/(4*(K256+P256-2)-1)))</f>
        <v>-0.61401661401661412</v>
      </c>
      <c r="W256" s="28"/>
      <c r="X256" s="20">
        <v>1</v>
      </c>
      <c r="Y256" s="29" t="s">
        <v>63</v>
      </c>
      <c r="Z256" s="8" t="s">
        <v>32</v>
      </c>
      <c r="AA256" s="29" t="s">
        <v>48</v>
      </c>
    </row>
    <row r="257" spans="1:27" ht="18.75" customHeight="1" x14ac:dyDescent="0.2">
      <c r="A257" s="20"/>
      <c r="C257" s="21"/>
      <c r="E257" s="20"/>
      <c r="F257" s="21">
        <v>1</v>
      </c>
      <c r="G257" s="21">
        <v>2</v>
      </c>
      <c r="H257" s="21"/>
      <c r="I257" s="24"/>
      <c r="J257" s="25">
        <f>AVERAGE(J255:J256)</f>
        <v>13.899999999999999</v>
      </c>
      <c r="K257" s="38">
        <v>37</v>
      </c>
      <c r="L257" s="26">
        <v>720</v>
      </c>
      <c r="M257" s="26"/>
      <c r="N257" s="24"/>
      <c r="O257" s="25">
        <f>AVERAGE(O255:O256)</f>
        <v>7.6499999999999995</v>
      </c>
      <c r="P257" s="38">
        <v>30</v>
      </c>
      <c r="Q257" s="21"/>
      <c r="R257" s="21"/>
      <c r="S257" s="21"/>
      <c r="T257" s="41">
        <f>AVERAGE(T255:T256)</f>
        <v>-0.31918552363607383</v>
      </c>
      <c r="U257" s="41">
        <f>AVERAGE(U255:U256)</f>
        <v>-0.31548839401866757</v>
      </c>
      <c r="V257" s="41">
        <f>AVERAGE(V255:V256)</f>
        <v>-0.49446670136325321</v>
      </c>
      <c r="W257" s="28"/>
      <c r="X257" s="20"/>
      <c r="AA257" s="29"/>
    </row>
    <row r="258" spans="1:27" ht="18.75" customHeight="1" x14ac:dyDescent="0.2">
      <c r="A258" s="20"/>
      <c r="C258" s="21"/>
      <c r="E258" s="20"/>
      <c r="F258" s="21"/>
      <c r="G258" s="21"/>
      <c r="H258" s="21"/>
      <c r="I258" s="24"/>
      <c r="J258" s="25"/>
      <c r="K258" s="38"/>
      <c r="L258" s="26"/>
      <c r="M258" s="26"/>
      <c r="N258" s="24"/>
      <c r="O258" s="25"/>
      <c r="P258" s="38"/>
      <c r="Q258" s="21"/>
      <c r="R258" s="21"/>
      <c r="S258" s="21"/>
      <c r="T258" s="44">
        <f>STDEV(T255:T256)</f>
        <v>4.0203367980033509E-2</v>
      </c>
      <c r="U258" s="44">
        <f>STDEV(U255:U256)</f>
        <v>3.9737691903044707E-2</v>
      </c>
      <c r="V258" s="44">
        <f>STDEV(V255:V256)</f>
        <v>0.16906910785490173</v>
      </c>
      <c r="W258" s="28"/>
      <c r="X258" s="20"/>
      <c r="AA258" s="29"/>
    </row>
    <row r="259" spans="1:27" ht="18.75" customHeight="1" x14ac:dyDescent="0.2">
      <c r="A259" s="20" t="s">
        <v>383</v>
      </c>
      <c r="B259" s="20" t="s">
        <v>384</v>
      </c>
      <c r="C259" s="21">
        <v>2016</v>
      </c>
      <c r="D259" s="22" t="s">
        <v>385</v>
      </c>
      <c r="E259" s="20" t="s">
        <v>386</v>
      </c>
      <c r="F259" s="20">
        <v>1</v>
      </c>
      <c r="G259" s="20">
        <v>1</v>
      </c>
      <c r="H259" s="20"/>
      <c r="I259" s="34">
        <v>24.4</v>
      </c>
      <c r="J259" s="45">
        <v>3.9</v>
      </c>
      <c r="K259" s="20">
        <v>56</v>
      </c>
      <c r="L259" s="26">
        <v>657</v>
      </c>
      <c r="M259" s="26"/>
      <c r="N259" s="34">
        <v>26.1</v>
      </c>
      <c r="O259" s="45">
        <v>3.6</v>
      </c>
      <c r="P259" s="20">
        <v>53</v>
      </c>
      <c r="Q259" s="20"/>
      <c r="R259" s="27">
        <f t="shared" ref="R259:R274" si="65">(N259-I259)/SQRT((O259^2+J259^2)/2)</f>
        <v>0.45297110128721196</v>
      </c>
      <c r="S259" s="20">
        <v>-1</v>
      </c>
      <c r="T259" s="23">
        <f t="shared" ref="T259:T274" si="66">(N259-I259)/SQRT((((P259-1)*O259^2) + ((K259-1)*J259^2))/(P259+K259-2))*S259</f>
        <v>-0.45246475809641312</v>
      </c>
      <c r="U259" s="23">
        <f t="shared" ref="U259:U274" si="67">T259*(1-(3/(4*(K259+P259-2) -1)))</f>
        <v>-0.44928584878894418</v>
      </c>
      <c r="V259" s="23">
        <f t="shared" ref="V259:V274" si="68">((N259-I259)/O259)*S259 * (1-(3/(4*(K259+P259-2)-1)))</f>
        <v>-0.4689045016913877</v>
      </c>
      <c r="W259" s="28"/>
      <c r="X259" s="20">
        <v>1</v>
      </c>
      <c r="Y259" s="29" t="s">
        <v>63</v>
      </c>
      <c r="Z259" s="8" t="s">
        <v>44</v>
      </c>
      <c r="AA259" s="29" t="s">
        <v>48</v>
      </c>
    </row>
    <row r="260" spans="1:27" ht="18.75" customHeight="1" x14ac:dyDescent="0.2">
      <c r="A260" s="20" t="s">
        <v>383</v>
      </c>
      <c r="B260" s="20" t="s">
        <v>384</v>
      </c>
      <c r="C260" s="21">
        <v>2016</v>
      </c>
      <c r="D260" s="22" t="s">
        <v>387</v>
      </c>
      <c r="E260" s="20" t="s">
        <v>388</v>
      </c>
      <c r="F260" s="20">
        <v>1</v>
      </c>
      <c r="G260" s="20">
        <v>2</v>
      </c>
      <c r="H260" s="20"/>
      <c r="I260" s="34">
        <v>7.1</v>
      </c>
      <c r="J260" s="45">
        <v>3.5</v>
      </c>
      <c r="K260" s="20">
        <v>56</v>
      </c>
      <c r="L260" s="26">
        <v>657</v>
      </c>
      <c r="M260" s="26"/>
      <c r="N260" s="34">
        <v>5.6</v>
      </c>
      <c r="O260" s="45">
        <v>3.4</v>
      </c>
      <c r="P260" s="20">
        <v>53</v>
      </c>
      <c r="Q260" s="20"/>
      <c r="R260" s="27">
        <f t="shared" si="65"/>
        <v>-0.43473695503786941</v>
      </c>
      <c r="S260" s="20">
        <v>1</v>
      </c>
      <c r="T260" s="23">
        <f t="shared" si="66"/>
        <v>-0.43456044915538544</v>
      </c>
      <c r="U260" s="23">
        <f t="shared" si="67"/>
        <v>-0.43150733124562862</v>
      </c>
      <c r="V260" s="23">
        <f t="shared" si="68"/>
        <v>-0.43807687009229918</v>
      </c>
      <c r="W260" s="28"/>
      <c r="X260" s="20">
        <v>1</v>
      </c>
      <c r="Y260" s="29" t="s">
        <v>63</v>
      </c>
      <c r="Z260" s="8" t="s">
        <v>44</v>
      </c>
      <c r="AA260" s="29" t="s">
        <v>48</v>
      </c>
    </row>
    <row r="261" spans="1:27" ht="18.75" customHeight="1" x14ac:dyDescent="0.2">
      <c r="A261" s="20" t="s">
        <v>383</v>
      </c>
      <c r="B261" s="20" t="s">
        <v>384</v>
      </c>
      <c r="C261" s="21">
        <v>2016</v>
      </c>
      <c r="D261" s="22" t="s">
        <v>389</v>
      </c>
      <c r="E261" s="20" t="s">
        <v>390</v>
      </c>
      <c r="F261" s="20">
        <v>1</v>
      </c>
      <c r="G261" s="20">
        <v>3</v>
      </c>
      <c r="H261" s="20"/>
      <c r="I261" s="34">
        <v>1197</v>
      </c>
      <c r="J261" s="45">
        <v>272</v>
      </c>
      <c r="K261" s="20">
        <v>56</v>
      </c>
      <c r="L261" s="26">
        <v>657</v>
      </c>
      <c r="M261" s="26"/>
      <c r="N261" s="34">
        <v>1133</v>
      </c>
      <c r="O261" s="45">
        <v>221</v>
      </c>
      <c r="P261" s="20">
        <v>53</v>
      </c>
      <c r="Q261" s="20"/>
      <c r="R261" s="27">
        <f t="shared" si="65"/>
        <v>-0.25825669292048387</v>
      </c>
      <c r="S261" s="20">
        <v>1</v>
      </c>
      <c r="T261" s="23">
        <f t="shared" si="66"/>
        <v>-0.25751874648171857</v>
      </c>
      <c r="U261" s="23">
        <f t="shared" si="67"/>
        <v>-0.25570948128395476</v>
      </c>
      <c r="V261" s="23">
        <f t="shared" si="68"/>
        <v>-0.28755815062468876</v>
      </c>
      <c r="W261" s="28"/>
      <c r="X261" s="20">
        <v>1</v>
      </c>
      <c r="Y261" s="29" t="s">
        <v>63</v>
      </c>
      <c r="Z261" s="8" t="s">
        <v>44</v>
      </c>
      <c r="AA261" s="29" t="s">
        <v>48</v>
      </c>
    </row>
    <row r="262" spans="1:27" ht="18.75" customHeight="1" x14ac:dyDescent="0.2">
      <c r="A262" s="20" t="s">
        <v>383</v>
      </c>
      <c r="B262" s="20" t="s">
        <v>384</v>
      </c>
      <c r="C262" s="21">
        <v>2016</v>
      </c>
      <c r="D262" s="22" t="s">
        <v>391</v>
      </c>
      <c r="E262" s="20" t="s">
        <v>392</v>
      </c>
      <c r="F262" s="20">
        <v>1</v>
      </c>
      <c r="G262" s="20">
        <v>4</v>
      </c>
      <c r="H262" s="20"/>
      <c r="I262" s="34">
        <v>5.7</v>
      </c>
      <c r="J262" s="45">
        <v>3.1</v>
      </c>
      <c r="K262" s="20">
        <v>56</v>
      </c>
      <c r="L262" s="26">
        <v>657</v>
      </c>
      <c r="M262" s="26"/>
      <c r="N262" s="34">
        <v>4.5999999999999996</v>
      </c>
      <c r="O262" s="45">
        <v>2.5</v>
      </c>
      <c r="P262" s="20">
        <v>53</v>
      </c>
      <c r="Q262" s="20"/>
      <c r="R262" s="27">
        <f t="shared" si="65"/>
        <v>-0.39062145332563941</v>
      </c>
      <c r="S262" s="20">
        <v>1</v>
      </c>
      <c r="T262" s="23">
        <f t="shared" si="66"/>
        <v>-0.38946648469174233</v>
      </c>
      <c r="U262" s="23">
        <f t="shared" si="67"/>
        <v>-0.38673018620444671</v>
      </c>
      <c r="V262" s="23">
        <f t="shared" si="68"/>
        <v>-0.43690866510538662</v>
      </c>
      <c r="W262" s="28"/>
      <c r="X262" s="20">
        <v>1</v>
      </c>
      <c r="Y262" s="29" t="s">
        <v>63</v>
      </c>
      <c r="Z262" s="8" t="s">
        <v>44</v>
      </c>
      <c r="AA262" s="29" t="s">
        <v>48</v>
      </c>
    </row>
    <row r="263" spans="1:27" ht="18.75" customHeight="1" x14ac:dyDescent="0.2">
      <c r="A263" s="20" t="s">
        <v>383</v>
      </c>
      <c r="B263" s="20" t="s">
        <v>384</v>
      </c>
      <c r="C263" s="21">
        <v>2016</v>
      </c>
      <c r="D263" s="22" t="s">
        <v>393</v>
      </c>
      <c r="E263" s="20" t="s">
        <v>394</v>
      </c>
      <c r="F263" s="20">
        <v>1</v>
      </c>
      <c r="G263" s="20">
        <v>5</v>
      </c>
      <c r="H263" s="20"/>
      <c r="I263" s="34">
        <v>874</v>
      </c>
      <c r="J263" s="45">
        <v>182</v>
      </c>
      <c r="K263" s="20">
        <v>56</v>
      </c>
      <c r="L263" s="26">
        <v>657</v>
      </c>
      <c r="M263" s="26"/>
      <c r="N263" s="34">
        <v>796</v>
      </c>
      <c r="O263" s="45">
        <v>157</v>
      </c>
      <c r="P263" s="20">
        <v>53</v>
      </c>
      <c r="Q263" s="20"/>
      <c r="R263" s="27">
        <f t="shared" si="65"/>
        <v>-0.4589307316362739</v>
      </c>
      <c r="S263" s="20">
        <v>1</v>
      </c>
      <c r="T263" s="23">
        <f t="shared" si="66"/>
        <v>-0.4579898559242136</v>
      </c>
      <c r="U263" s="23">
        <f t="shared" si="67"/>
        <v>-0.45477212859921912</v>
      </c>
      <c r="V263" s="23">
        <f t="shared" si="68"/>
        <v>-0.49332478109757005</v>
      </c>
      <c r="W263" s="28"/>
      <c r="X263" s="20">
        <v>1</v>
      </c>
      <c r="Y263" s="29" t="s">
        <v>63</v>
      </c>
      <c r="Z263" s="8" t="s">
        <v>44</v>
      </c>
      <c r="AA263" s="29" t="s">
        <v>48</v>
      </c>
    </row>
    <row r="264" spans="1:27" ht="18.75" customHeight="1" x14ac:dyDescent="0.2">
      <c r="A264" s="20" t="s">
        <v>383</v>
      </c>
      <c r="B264" s="20" t="s">
        <v>384</v>
      </c>
      <c r="C264" s="21">
        <v>2016</v>
      </c>
      <c r="D264" s="22" t="s">
        <v>395</v>
      </c>
      <c r="E264" s="20" t="s">
        <v>396</v>
      </c>
      <c r="F264" s="20">
        <v>1</v>
      </c>
      <c r="G264" s="20">
        <v>6</v>
      </c>
      <c r="H264" s="20"/>
      <c r="I264" s="34">
        <v>49.2</v>
      </c>
      <c r="J264" s="45">
        <v>5.0999999999999996</v>
      </c>
      <c r="K264" s="20">
        <v>56</v>
      </c>
      <c r="L264" s="26">
        <v>657</v>
      </c>
      <c r="M264" s="26"/>
      <c r="N264" s="34">
        <v>51.3</v>
      </c>
      <c r="O264" s="45">
        <v>4.5999999999999996</v>
      </c>
      <c r="P264" s="20">
        <v>53</v>
      </c>
      <c r="Q264" s="20"/>
      <c r="R264" s="27">
        <f t="shared" si="65"/>
        <v>0.43241560109111549</v>
      </c>
      <c r="S264" s="20">
        <v>-1</v>
      </c>
      <c r="T264" s="23">
        <f t="shared" si="66"/>
        <v>-0.4317936632940807</v>
      </c>
      <c r="U264" s="23">
        <f t="shared" si="67"/>
        <v>-0.42875998416086702</v>
      </c>
      <c r="V264" s="23">
        <f t="shared" si="68"/>
        <v>-0.45331432644333453</v>
      </c>
      <c r="W264" s="28"/>
      <c r="X264" s="20">
        <v>1</v>
      </c>
      <c r="Y264" s="29" t="s">
        <v>63</v>
      </c>
      <c r="Z264" s="8" t="s">
        <v>44</v>
      </c>
      <c r="AA264" s="29" t="s">
        <v>48</v>
      </c>
    </row>
    <row r="265" spans="1:27" ht="18.75" customHeight="1" x14ac:dyDescent="0.2">
      <c r="A265" s="20" t="s">
        <v>383</v>
      </c>
      <c r="B265" s="20" t="s">
        <v>397</v>
      </c>
      <c r="C265" s="21">
        <v>2020</v>
      </c>
      <c r="D265" s="22" t="s">
        <v>398</v>
      </c>
      <c r="E265" s="20" t="s">
        <v>398</v>
      </c>
      <c r="F265" s="20">
        <v>2</v>
      </c>
      <c r="G265" s="20">
        <v>7</v>
      </c>
      <c r="H265" s="20"/>
      <c r="I265" s="34">
        <v>21.5</v>
      </c>
      <c r="J265" s="45">
        <v>0.7</v>
      </c>
      <c r="K265" s="20">
        <v>20</v>
      </c>
      <c r="L265" s="26">
        <v>670</v>
      </c>
      <c r="M265" s="26"/>
      <c r="N265" s="34">
        <v>21.4</v>
      </c>
      <c r="O265" s="45">
        <v>1</v>
      </c>
      <c r="P265" s="20">
        <v>25</v>
      </c>
      <c r="Q265" s="20"/>
      <c r="R265" s="27">
        <f t="shared" si="65"/>
        <v>-0.1158568892727001</v>
      </c>
      <c r="S265" s="20">
        <v>-1</v>
      </c>
      <c r="T265" s="23">
        <f t="shared" si="66"/>
        <v>0.11361794015659749</v>
      </c>
      <c r="U265" s="23">
        <f t="shared" si="67"/>
        <v>0.1116246429608677</v>
      </c>
      <c r="V265" s="23">
        <f t="shared" si="68"/>
        <v>9.8245614035089107E-2</v>
      </c>
      <c r="W265" s="28"/>
      <c r="X265" s="20">
        <v>2</v>
      </c>
      <c r="Y265" s="29" t="s">
        <v>31</v>
      </c>
      <c r="Z265" s="8" t="s">
        <v>32</v>
      </c>
      <c r="AA265" s="29" t="s">
        <v>31</v>
      </c>
    </row>
    <row r="266" spans="1:27" ht="18.75" customHeight="1" x14ac:dyDescent="0.2">
      <c r="A266" s="20" t="s">
        <v>383</v>
      </c>
      <c r="B266" s="20" t="s">
        <v>397</v>
      </c>
      <c r="C266" s="21">
        <v>2020</v>
      </c>
      <c r="D266" s="22" t="s">
        <v>399</v>
      </c>
      <c r="E266" s="20" t="s">
        <v>400</v>
      </c>
      <c r="F266" s="20">
        <v>2</v>
      </c>
      <c r="G266" s="20">
        <v>8</v>
      </c>
      <c r="H266" s="20"/>
      <c r="I266" s="34">
        <v>2.8</v>
      </c>
      <c r="J266" s="45">
        <v>1.1000000000000001</v>
      </c>
      <c r="K266" s="20">
        <v>20</v>
      </c>
      <c r="L266" s="26">
        <v>670</v>
      </c>
      <c r="M266" s="26"/>
      <c r="N266" s="34">
        <v>2.2000000000000002</v>
      </c>
      <c r="O266" s="45">
        <v>0.7</v>
      </c>
      <c r="P266" s="20">
        <v>25</v>
      </c>
      <c r="Q266" s="20"/>
      <c r="R266" s="27">
        <f t="shared" si="65"/>
        <v>-0.65079137345596816</v>
      </c>
      <c r="S266" s="20">
        <v>1</v>
      </c>
      <c r="T266" s="23">
        <f t="shared" si="66"/>
        <v>-0.6674336116043903</v>
      </c>
      <c r="U266" s="23">
        <f t="shared" si="67"/>
        <v>-0.65572424999729573</v>
      </c>
      <c r="V266" s="23">
        <f t="shared" si="68"/>
        <v>-0.84210526315789425</v>
      </c>
      <c r="W266" s="28"/>
      <c r="X266" s="20">
        <v>2</v>
      </c>
      <c r="Y266" s="29" t="s">
        <v>31</v>
      </c>
      <c r="Z266" s="8" t="s">
        <v>32</v>
      </c>
      <c r="AA266" s="29" t="s">
        <v>31</v>
      </c>
    </row>
    <row r="267" spans="1:27" ht="18.75" customHeight="1" x14ac:dyDescent="0.2">
      <c r="A267" s="20" t="s">
        <v>383</v>
      </c>
      <c r="B267" s="20" t="s">
        <v>397</v>
      </c>
      <c r="C267" s="21">
        <v>2020</v>
      </c>
      <c r="D267" s="22" t="s">
        <v>401</v>
      </c>
      <c r="E267" s="20" t="s">
        <v>401</v>
      </c>
      <c r="F267" s="20">
        <v>2</v>
      </c>
      <c r="G267" s="20">
        <v>9</v>
      </c>
      <c r="H267" s="20"/>
      <c r="I267" s="34">
        <v>18.5</v>
      </c>
      <c r="J267" s="45">
        <v>2</v>
      </c>
      <c r="K267" s="20">
        <v>20</v>
      </c>
      <c r="L267" s="26">
        <v>670</v>
      </c>
      <c r="M267" s="26"/>
      <c r="N267" s="34">
        <v>18.2</v>
      </c>
      <c r="O267" s="45">
        <v>2</v>
      </c>
      <c r="P267" s="20">
        <v>25</v>
      </c>
      <c r="Q267" s="20"/>
      <c r="R267" s="27">
        <f t="shared" si="65"/>
        <v>-0.15000000000000036</v>
      </c>
      <c r="S267" s="20">
        <v>-1</v>
      </c>
      <c r="T267" s="23">
        <f t="shared" si="66"/>
        <v>0.15000000000000036</v>
      </c>
      <c r="U267" s="23">
        <f t="shared" si="67"/>
        <v>0.14736842105263193</v>
      </c>
      <c r="V267" s="23">
        <f t="shared" si="68"/>
        <v>0.14736842105263193</v>
      </c>
      <c r="W267" s="28"/>
      <c r="X267" s="20">
        <v>2</v>
      </c>
      <c r="Y267" s="29" t="s">
        <v>31</v>
      </c>
      <c r="Z267" s="8" t="s">
        <v>32</v>
      </c>
      <c r="AA267" s="29" t="s">
        <v>31</v>
      </c>
    </row>
    <row r="268" spans="1:27" ht="18.75" customHeight="1" x14ac:dyDescent="0.2">
      <c r="A268" s="20" t="s">
        <v>383</v>
      </c>
      <c r="B268" s="20" t="s">
        <v>397</v>
      </c>
      <c r="C268" s="21">
        <v>2020</v>
      </c>
      <c r="D268" s="22" t="s">
        <v>402</v>
      </c>
      <c r="E268" s="20" t="s">
        <v>403</v>
      </c>
      <c r="F268" s="20">
        <v>2</v>
      </c>
      <c r="G268" s="20">
        <v>10</v>
      </c>
      <c r="H268" s="20"/>
      <c r="I268" s="34">
        <v>5.6</v>
      </c>
      <c r="J268" s="45">
        <v>1.2</v>
      </c>
      <c r="K268" s="20">
        <v>20</v>
      </c>
      <c r="L268" s="26">
        <v>670</v>
      </c>
      <c r="M268" s="26"/>
      <c r="N268" s="34">
        <v>4.7</v>
      </c>
      <c r="O268" s="45">
        <v>1.3</v>
      </c>
      <c r="P268" s="20">
        <v>25</v>
      </c>
      <c r="Q268" s="20"/>
      <c r="R268" s="27">
        <f t="shared" si="65"/>
        <v>-0.71942469027968792</v>
      </c>
      <c r="S268" s="20">
        <v>1</v>
      </c>
      <c r="T268" s="23">
        <f t="shared" si="66"/>
        <v>-0.71610696636686288</v>
      </c>
      <c r="U268" s="23">
        <f t="shared" si="67"/>
        <v>-0.7035436862551635</v>
      </c>
      <c r="V268" s="23">
        <f t="shared" si="68"/>
        <v>-0.68016194331983759</v>
      </c>
      <c r="W268" s="28"/>
      <c r="X268" s="20">
        <v>2</v>
      </c>
      <c r="Y268" s="29" t="s">
        <v>31</v>
      </c>
      <c r="Z268" s="8" t="s">
        <v>32</v>
      </c>
      <c r="AA268" s="29" t="s">
        <v>31</v>
      </c>
    </row>
    <row r="269" spans="1:27" ht="18.75" customHeight="1" x14ac:dyDescent="0.2">
      <c r="A269" s="20" t="s">
        <v>383</v>
      </c>
      <c r="B269" s="20" t="s">
        <v>397</v>
      </c>
      <c r="C269" s="21">
        <v>2020</v>
      </c>
      <c r="D269" s="22" t="s">
        <v>404</v>
      </c>
      <c r="E269" s="20" t="s">
        <v>404</v>
      </c>
      <c r="F269" s="20">
        <v>2</v>
      </c>
      <c r="G269" s="20">
        <v>11</v>
      </c>
      <c r="H269" s="20"/>
      <c r="I269" s="34">
        <v>23.1</v>
      </c>
      <c r="J269" s="45">
        <v>2.9</v>
      </c>
      <c r="K269" s="20">
        <v>20</v>
      </c>
      <c r="L269" s="26">
        <v>670</v>
      </c>
      <c r="M269" s="26"/>
      <c r="N269" s="34">
        <v>22.6</v>
      </c>
      <c r="O269" s="45">
        <v>4.8</v>
      </c>
      <c r="P269" s="20">
        <v>25</v>
      </c>
      <c r="Q269" s="20"/>
      <c r="R269" s="27">
        <f t="shared" si="65"/>
        <v>-0.12608826746517235</v>
      </c>
      <c r="S269" s="20">
        <v>-1</v>
      </c>
      <c r="T269" s="23">
        <f t="shared" si="66"/>
        <v>0.12281053382556326</v>
      </c>
      <c r="U269" s="23">
        <f t="shared" si="67"/>
        <v>0.12065596305669372</v>
      </c>
      <c r="V269" s="23">
        <f t="shared" si="68"/>
        <v>0.1023391812865497</v>
      </c>
      <c r="W269" s="28"/>
      <c r="X269" s="20">
        <v>2</v>
      </c>
      <c r="Y269" s="29" t="s">
        <v>31</v>
      </c>
      <c r="Z269" s="8" t="s">
        <v>32</v>
      </c>
      <c r="AA269" s="29" t="s">
        <v>31</v>
      </c>
    </row>
    <row r="270" spans="1:27" ht="18.75" customHeight="1" x14ac:dyDescent="0.2">
      <c r="A270" s="20" t="s">
        <v>383</v>
      </c>
      <c r="B270" s="20" t="s">
        <v>397</v>
      </c>
      <c r="C270" s="21">
        <v>2020</v>
      </c>
      <c r="D270" s="22" t="s">
        <v>405</v>
      </c>
      <c r="E270" s="20" t="s">
        <v>406</v>
      </c>
      <c r="F270" s="20">
        <v>2</v>
      </c>
      <c r="G270" s="20">
        <v>12</v>
      </c>
      <c r="H270" s="20"/>
      <c r="I270" s="34">
        <v>5.5</v>
      </c>
      <c r="J270" s="45">
        <v>2</v>
      </c>
      <c r="K270" s="20">
        <v>20</v>
      </c>
      <c r="L270" s="26">
        <v>670</v>
      </c>
      <c r="M270" s="26"/>
      <c r="N270" s="34">
        <v>4.5</v>
      </c>
      <c r="O270" s="45">
        <v>1.9</v>
      </c>
      <c r="P270" s="20">
        <v>25</v>
      </c>
      <c r="Q270" s="20"/>
      <c r="R270" s="27">
        <f t="shared" si="65"/>
        <v>-0.51265201585101605</v>
      </c>
      <c r="S270" s="20">
        <v>1</v>
      </c>
      <c r="T270" s="23">
        <f t="shared" si="66"/>
        <v>-0.51418635194385709</v>
      </c>
      <c r="U270" s="23">
        <f t="shared" si="67"/>
        <v>-0.50516553875185954</v>
      </c>
      <c r="V270" s="23">
        <f t="shared" si="68"/>
        <v>-0.51708217913204058</v>
      </c>
      <c r="W270" s="28"/>
      <c r="X270" s="20">
        <v>2</v>
      </c>
      <c r="Y270" s="29" t="s">
        <v>31</v>
      </c>
      <c r="Z270" s="8" t="s">
        <v>32</v>
      </c>
      <c r="AA270" s="29" t="s">
        <v>31</v>
      </c>
    </row>
    <row r="271" spans="1:27" ht="18.75" customHeight="1" x14ac:dyDescent="0.2">
      <c r="A271" s="20" t="s">
        <v>383</v>
      </c>
      <c r="B271" s="20" t="s">
        <v>73</v>
      </c>
      <c r="C271" s="21">
        <v>1996</v>
      </c>
      <c r="D271" s="22" t="s">
        <v>407</v>
      </c>
      <c r="E271" s="20" t="s">
        <v>408</v>
      </c>
      <c r="F271" s="20">
        <v>3</v>
      </c>
      <c r="G271" s="20">
        <v>13</v>
      </c>
      <c r="H271" s="20"/>
      <c r="I271" s="24">
        <v>10.4</v>
      </c>
      <c r="J271" s="25">
        <v>3.59</v>
      </c>
      <c r="K271" s="21">
        <v>11</v>
      </c>
      <c r="L271" s="35">
        <v>566</v>
      </c>
      <c r="M271" s="35"/>
      <c r="N271" s="24">
        <v>11.86</v>
      </c>
      <c r="O271" s="25">
        <v>2.75</v>
      </c>
      <c r="P271" s="21">
        <v>22</v>
      </c>
      <c r="Q271" s="20"/>
      <c r="R271" s="27">
        <f t="shared" si="65"/>
        <v>0.45657783714230354</v>
      </c>
      <c r="S271" s="20">
        <v>-1</v>
      </c>
      <c r="T271" s="23">
        <f t="shared" si="66"/>
        <v>-0.47925723498392397</v>
      </c>
      <c r="U271" s="23">
        <f t="shared" si="67"/>
        <v>-0.46756803413065751</v>
      </c>
      <c r="V271" s="23">
        <f t="shared" si="68"/>
        <v>-0.51796008869179566</v>
      </c>
      <c r="W271" s="28"/>
      <c r="X271" s="31" t="s">
        <v>75</v>
      </c>
      <c r="Y271" s="32" t="s">
        <v>75</v>
      </c>
      <c r="Z271" s="8" t="s">
        <v>44</v>
      </c>
      <c r="AA271" s="32" t="s">
        <v>75</v>
      </c>
    </row>
    <row r="272" spans="1:27" ht="18.75" customHeight="1" x14ac:dyDescent="0.2">
      <c r="A272" s="20" t="s">
        <v>383</v>
      </c>
      <c r="B272" s="20" t="s">
        <v>76</v>
      </c>
      <c r="C272" s="21">
        <v>1996</v>
      </c>
      <c r="D272" s="22" t="s">
        <v>407</v>
      </c>
      <c r="E272" s="20" t="s">
        <v>408</v>
      </c>
      <c r="F272" s="20">
        <v>4</v>
      </c>
      <c r="G272" s="20">
        <v>14</v>
      </c>
      <c r="H272" s="20"/>
      <c r="I272" s="24">
        <v>9.6</v>
      </c>
      <c r="J272" s="25">
        <v>2.0699999999999998</v>
      </c>
      <c r="K272" s="21">
        <v>11</v>
      </c>
      <c r="L272" s="35">
        <v>1545</v>
      </c>
      <c r="M272" s="35"/>
      <c r="N272" s="24">
        <v>11.86</v>
      </c>
      <c r="O272" s="25">
        <v>2.75</v>
      </c>
      <c r="P272" s="21">
        <v>22</v>
      </c>
      <c r="Q272" s="20"/>
      <c r="R272" s="27">
        <f t="shared" si="65"/>
        <v>0.92856414730511871</v>
      </c>
      <c r="S272" s="20">
        <v>-1</v>
      </c>
      <c r="T272" s="23">
        <f t="shared" si="66"/>
        <v>-0.8860899063645552</v>
      </c>
      <c r="U272" s="23">
        <f t="shared" si="67"/>
        <v>-0.86447795742883438</v>
      </c>
      <c r="V272" s="23">
        <f t="shared" si="68"/>
        <v>-0.80177383592017737</v>
      </c>
      <c r="W272" s="28"/>
      <c r="X272" s="31" t="s">
        <v>75</v>
      </c>
      <c r="Y272" s="32" t="s">
        <v>75</v>
      </c>
      <c r="Z272" s="8" t="s">
        <v>44</v>
      </c>
      <c r="AA272" s="32" t="s">
        <v>75</v>
      </c>
    </row>
    <row r="273" spans="1:27" ht="18.75" customHeight="1" x14ac:dyDescent="0.2">
      <c r="A273" s="20" t="s">
        <v>383</v>
      </c>
      <c r="B273" s="20" t="s">
        <v>73</v>
      </c>
      <c r="C273" s="21">
        <v>1996</v>
      </c>
      <c r="D273" s="22" t="s">
        <v>409</v>
      </c>
      <c r="E273" s="20" t="s">
        <v>410</v>
      </c>
      <c r="F273" s="20">
        <v>3</v>
      </c>
      <c r="G273" s="20">
        <v>15</v>
      </c>
      <c r="H273" s="20"/>
      <c r="I273" s="24">
        <v>24.8</v>
      </c>
      <c r="J273" s="25">
        <v>4.47</v>
      </c>
      <c r="K273" s="21">
        <v>11</v>
      </c>
      <c r="L273" s="35">
        <v>566</v>
      </c>
      <c r="M273" s="35"/>
      <c r="N273" s="24">
        <v>27.95</v>
      </c>
      <c r="O273" s="25">
        <v>4.47</v>
      </c>
      <c r="P273" s="21">
        <v>22</v>
      </c>
      <c r="Q273" s="20"/>
      <c r="R273" s="27">
        <f t="shared" si="65"/>
        <v>0.70469798657718097</v>
      </c>
      <c r="S273" s="20">
        <v>-1</v>
      </c>
      <c r="T273" s="23">
        <f t="shared" si="66"/>
        <v>-0.70469798657718097</v>
      </c>
      <c r="U273" s="23">
        <f t="shared" si="67"/>
        <v>-0.6875102308070058</v>
      </c>
      <c r="V273" s="23">
        <f t="shared" si="68"/>
        <v>-0.6875102308070058</v>
      </c>
      <c r="W273" s="28"/>
      <c r="X273" s="31" t="s">
        <v>75</v>
      </c>
      <c r="Y273" s="32" t="s">
        <v>75</v>
      </c>
      <c r="Z273" s="8" t="s">
        <v>44</v>
      </c>
      <c r="AA273" s="32" t="s">
        <v>75</v>
      </c>
    </row>
    <row r="274" spans="1:27" ht="18.75" customHeight="1" x14ac:dyDescent="0.2">
      <c r="A274" s="20" t="s">
        <v>383</v>
      </c>
      <c r="B274" s="20" t="s">
        <v>76</v>
      </c>
      <c r="C274" s="21">
        <v>1996</v>
      </c>
      <c r="D274" s="22" t="s">
        <v>409</v>
      </c>
      <c r="E274" s="20" t="s">
        <v>410</v>
      </c>
      <c r="F274" s="20">
        <v>4</v>
      </c>
      <c r="G274" s="20">
        <v>16</v>
      </c>
      <c r="H274" s="20"/>
      <c r="I274" s="24">
        <v>24.5</v>
      </c>
      <c r="J274" s="25">
        <v>4.1399999999999997</v>
      </c>
      <c r="K274" s="21">
        <v>11</v>
      </c>
      <c r="L274" s="35">
        <v>1545</v>
      </c>
      <c r="M274" s="35"/>
      <c r="N274" s="24">
        <v>27.95</v>
      </c>
      <c r="O274" s="25">
        <v>4.47</v>
      </c>
      <c r="P274" s="21">
        <v>22</v>
      </c>
      <c r="Q274" s="20"/>
      <c r="R274" s="27">
        <f t="shared" si="65"/>
        <v>0.80080575254898934</v>
      </c>
      <c r="S274" s="20">
        <v>-1</v>
      </c>
      <c r="T274" s="23">
        <f t="shared" si="66"/>
        <v>-0.79014732728204173</v>
      </c>
      <c r="U274" s="23">
        <f t="shared" si="67"/>
        <v>-0.77087544125077245</v>
      </c>
      <c r="V274" s="23">
        <f t="shared" si="68"/>
        <v>-0.75298739564576844</v>
      </c>
      <c r="W274" s="28"/>
      <c r="X274" s="31" t="s">
        <v>75</v>
      </c>
      <c r="Y274" s="32" t="s">
        <v>75</v>
      </c>
      <c r="Z274" s="8" t="s">
        <v>44</v>
      </c>
      <c r="AA274" s="32" t="s">
        <v>75</v>
      </c>
    </row>
    <row r="275" spans="1:27" ht="18.75" customHeight="1" x14ac:dyDescent="0.2">
      <c r="A275" s="20"/>
      <c r="B275" s="20"/>
      <c r="C275" s="21"/>
      <c r="D275" s="22"/>
      <c r="E275" s="20"/>
      <c r="F275" s="37">
        <v>4</v>
      </c>
      <c r="G275" s="37">
        <v>16</v>
      </c>
      <c r="H275" s="37"/>
      <c r="I275" s="34"/>
      <c r="J275" s="25">
        <f>AVERAGE(J259:J274)</f>
        <v>30.860624999999999</v>
      </c>
      <c r="K275" s="38">
        <f>SUM(K270,K264,K271,K273)</f>
        <v>98</v>
      </c>
      <c r="L275" s="39">
        <f>AVERAGE(L270,L264,L271,L273)</f>
        <v>614.75</v>
      </c>
      <c r="M275" s="39"/>
      <c r="N275" s="24"/>
      <c r="O275" s="25">
        <f>AVERAGE(O259:O274)</f>
        <v>26.140000000000004</v>
      </c>
      <c r="P275" s="38">
        <f>SUM(P270,P264,P48,P273)</f>
        <v>120</v>
      </c>
      <c r="Q275" s="20"/>
      <c r="R275" s="27"/>
      <c r="S275" s="20"/>
      <c r="T275" s="41">
        <f>AVERAGE(T259:T274)</f>
        <v>-0.42470530429901282</v>
      </c>
      <c r="U275" s="41">
        <f>AVERAGE(U259:U274)</f>
        <v>-0.41762381698965345</v>
      </c>
      <c r="V275" s="41">
        <f>AVERAGE(V259:V274)</f>
        <v>-0.4393571884596823</v>
      </c>
      <c r="W275" s="28"/>
      <c r="X275" s="20"/>
      <c r="AA275" s="29"/>
    </row>
    <row r="276" spans="1:27" ht="18.75" customHeight="1" x14ac:dyDescent="0.2">
      <c r="A276" s="20"/>
      <c r="B276" s="20"/>
      <c r="C276" s="21"/>
      <c r="D276" s="22"/>
      <c r="E276" s="20"/>
      <c r="F276" s="37"/>
      <c r="G276" s="37"/>
      <c r="H276" s="37"/>
      <c r="I276" s="34"/>
      <c r="J276" s="25"/>
      <c r="K276" s="38"/>
      <c r="L276" s="39"/>
      <c r="M276" s="39"/>
      <c r="N276" s="24"/>
      <c r="O276" s="25"/>
      <c r="P276" s="38"/>
      <c r="Q276" s="20"/>
      <c r="R276" s="27"/>
      <c r="S276" s="20"/>
      <c r="T276" s="44">
        <f>STDEV(T259:T274)</f>
        <v>0.31944794968425833</v>
      </c>
      <c r="U276" s="44">
        <f>STDEV(U259:U274)</f>
        <v>0.31249951189225317</v>
      </c>
      <c r="V276" s="44">
        <f>STDEV(V259:V274)</f>
        <v>0.31383985271972681</v>
      </c>
      <c r="W276" s="28"/>
      <c r="X276" s="20"/>
      <c r="AA276" s="29"/>
    </row>
    <row r="277" spans="1:27" ht="18.75" customHeight="1" x14ac:dyDescent="0.2">
      <c r="A277" s="20" t="s">
        <v>411</v>
      </c>
      <c r="B277" s="20"/>
      <c r="C277" s="21"/>
      <c r="D277" s="22"/>
      <c r="E277" s="20"/>
      <c r="F277" s="20"/>
      <c r="G277" s="20"/>
      <c r="H277" s="20"/>
      <c r="I277" s="34"/>
      <c r="J277" s="45"/>
      <c r="K277" s="20"/>
      <c r="L277" s="26"/>
      <c r="M277" s="26"/>
      <c r="N277" s="34"/>
      <c r="O277" s="45"/>
      <c r="P277" s="20"/>
      <c r="Q277" s="20"/>
      <c r="R277" s="27"/>
      <c r="S277" s="20"/>
      <c r="W277" s="28"/>
      <c r="X277" s="20"/>
      <c r="AA277" s="29"/>
    </row>
    <row r="278" spans="1:27" ht="18.75" customHeight="1" x14ac:dyDescent="0.2">
      <c r="A278" s="21" t="s">
        <v>412</v>
      </c>
      <c r="B278" s="86" t="s">
        <v>563</v>
      </c>
      <c r="C278" s="98">
        <v>2022</v>
      </c>
      <c r="D278" s="99" t="s">
        <v>571</v>
      </c>
      <c r="E278" s="134" t="s">
        <v>572</v>
      </c>
      <c r="F278" s="20">
        <v>1</v>
      </c>
      <c r="G278" s="20">
        <v>1</v>
      </c>
      <c r="H278" s="20"/>
      <c r="I278" s="34">
        <v>97</v>
      </c>
      <c r="J278" s="25">
        <v>11.9</v>
      </c>
      <c r="K278" s="21">
        <v>20</v>
      </c>
      <c r="L278" s="26">
        <v>702.3</v>
      </c>
      <c r="M278" s="26"/>
      <c r="N278" s="24">
        <v>105.1</v>
      </c>
      <c r="O278" s="25">
        <v>13.7</v>
      </c>
      <c r="P278" s="21">
        <v>40</v>
      </c>
      <c r="Q278" s="20"/>
      <c r="R278" s="27">
        <f>(N278-I278)/SQRT((O278^2+J278^2)/2)</f>
        <v>0.63125401202298137</v>
      </c>
      <c r="S278" s="20">
        <v>-1</v>
      </c>
      <c r="T278" s="23">
        <f>(N278-I278)/SQRT((((P278-1)*O278^2) + ((K278-1)*J278^2))/(P278+K278-2))*S278</f>
        <v>-0.61655401564103551</v>
      </c>
      <c r="U278" s="23">
        <f t="shared" ref="U278:U296" si="69">T278*(1-(3/(4*(K278+P278-2) -1)))</f>
        <v>-0.60854682063271037</v>
      </c>
      <c r="V278" s="23">
        <f>((N278-I278)/O278)*S278 * (1-(3/(4*(K278+P278-2)-1)))</f>
        <v>-0.58356242297848093</v>
      </c>
      <c r="W278" s="28"/>
      <c r="X278" s="20">
        <v>1</v>
      </c>
    </row>
    <row r="279" spans="1:27" ht="18.75" customHeight="1" x14ac:dyDescent="0.2">
      <c r="A279" s="21" t="s">
        <v>412</v>
      </c>
      <c r="B279" s="20" t="s">
        <v>147</v>
      </c>
      <c r="C279" s="21">
        <v>1997</v>
      </c>
      <c r="D279" s="22" t="s">
        <v>413</v>
      </c>
      <c r="E279" s="20" t="s">
        <v>414</v>
      </c>
      <c r="F279" s="21">
        <v>2</v>
      </c>
      <c r="G279" s="21">
        <v>1</v>
      </c>
      <c r="H279" s="21"/>
      <c r="I279" s="24">
        <v>104.5</v>
      </c>
      <c r="J279" s="25">
        <v>10.46</v>
      </c>
      <c r="K279" s="21">
        <v>8</v>
      </c>
      <c r="L279" s="36">
        <v>870</v>
      </c>
      <c r="M279" s="36"/>
      <c r="N279" s="24">
        <v>104.5</v>
      </c>
      <c r="O279" s="25">
        <v>11.31</v>
      </c>
      <c r="P279" s="21">
        <v>15</v>
      </c>
      <c r="Q279" s="21"/>
      <c r="R279" s="27">
        <f t="shared" ref="R279:R296" si="70">(N279-I279)/SQRT((O279^2+J279^2)/2)</f>
        <v>0</v>
      </c>
      <c r="S279" s="21">
        <v>-1</v>
      </c>
      <c r="T279" s="23">
        <f t="shared" ref="T279:T296" si="71">(N279-I279)/SQRT((((P279-1)*O279^2) + ((K279-1)*J279^2))/(P279+K279-2))*S279</f>
        <v>0</v>
      </c>
      <c r="U279" s="23">
        <f t="shared" si="69"/>
        <v>0</v>
      </c>
      <c r="V279" s="23">
        <f t="shared" ref="V279:V296" si="72">((N279-I279)/O279)*S279 * (1-(3/(4*(K279+P279-2)-1)))</f>
        <v>0</v>
      </c>
      <c r="W279" s="28"/>
      <c r="X279" s="21">
        <v>4</v>
      </c>
      <c r="Y279" s="8" t="s">
        <v>81</v>
      </c>
      <c r="Z279" s="29" t="s">
        <v>151</v>
      </c>
      <c r="AA279" s="8" t="s">
        <v>81</v>
      </c>
    </row>
    <row r="280" spans="1:27" ht="18.75" customHeight="1" x14ac:dyDescent="0.2">
      <c r="A280" s="21" t="s">
        <v>415</v>
      </c>
      <c r="B280" s="21" t="s">
        <v>28</v>
      </c>
      <c r="C280" s="21">
        <v>2004</v>
      </c>
      <c r="D280" s="22" t="s">
        <v>416</v>
      </c>
      <c r="E280" s="20" t="s">
        <v>416</v>
      </c>
      <c r="F280" s="21">
        <v>3</v>
      </c>
      <c r="G280" s="21">
        <v>2</v>
      </c>
      <c r="H280" s="21"/>
      <c r="I280" s="24">
        <v>112.3</v>
      </c>
      <c r="J280" s="25">
        <v>9.68</v>
      </c>
      <c r="K280" s="21">
        <v>20</v>
      </c>
      <c r="L280" s="36">
        <v>859</v>
      </c>
      <c r="M280" s="36"/>
      <c r="N280" s="24">
        <v>114.65</v>
      </c>
      <c r="O280" s="25">
        <v>10.43</v>
      </c>
      <c r="P280" s="21">
        <v>20</v>
      </c>
      <c r="Q280" s="21"/>
      <c r="R280" s="27">
        <f t="shared" si="70"/>
        <v>0.23355220150051281</v>
      </c>
      <c r="S280" s="21">
        <v>-1</v>
      </c>
      <c r="T280" s="23">
        <f t="shared" si="71"/>
        <v>-0.23355220150051281</v>
      </c>
      <c r="U280" s="23">
        <f t="shared" si="69"/>
        <v>-0.22891209153692646</v>
      </c>
      <c r="V280" s="23">
        <f t="shared" si="72"/>
        <v>-0.22083521172369647</v>
      </c>
      <c r="W280" s="28"/>
      <c r="X280" s="21">
        <v>2</v>
      </c>
      <c r="Y280" s="8" t="s">
        <v>31</v>
      </c>
      <c r="Z280" s="29" t="s">
        <v>32</v>
      </c>
      <c r="AA280" s="8" t="s">
        <v>31</v>
      </c>
    </row>
    <row r="281" spans="1:27" ht="18.75" customHeight="1" x14ac:dyDescent="0.2">
      <c r="A281" s="21" t="s">
        <v>415</v>
      </c>
      <c r="B281" s="21" t="s">
        <v>28</v>
      </c>
      <c r="C281" s="21">
        <v>2004</v>
      </c>
      <c r="D281" s="22" t="s">
        <v>417</v>
      </c>
      <c r="E281" s="20" t="s">
        <v>417</v>
      </c>
      <c r="F281" s="21">
        <v>3</v>
      </c>
      <c r="G281" s="21">
        <v>3</v>
      </c>
      <c r="H281" s="21"/>
      <c r="I281" s="24">
        <v>108.55</v>
      </c>
      <c r="J281" s="25">
        <v>9.4700000000000006</v>
      </c>
      <c r="K281" s="21">
        <v>20</v>
      </c>
      <c r="L281" s="36">
        <v>859</v>
      </c>
      <c r="M281" s="36"/>
      <c r="N281" s="24">
        <v>107.2</v>
      </c>
      <c r="O281" s="25">
        <v>10.84</v>
      </c>
      <c r="P281" s="21">
        <v>20</v>
      </c>
      <c r="Q281" s="21"/>
      <c r="R281" s="27">
        <f t="shared" si="70"/>
        <v>-0.13263802280519524</v>
      </c>
      <c r="S281" s="21">
        <v>-1</v>
      </c>
      <c r="T281" s="23">
        <f t="shared" si="71"/>
        <v>0.13263802280519524</v>
      </c>
      <c r="U281" s="23">
        <f t="shared" si="69"/>
        <v>0.13000283029913176</v>
      </c>
      <c r="V281" s="23">
        <f t="shared" si="72"/>
        <v>0.12206446567776885</v>
      </c>
      <c r="W281" s="28"/>
      <c r="X281" s="21">
        <v>2</v>
      </c>
      <c r="Y281" s="8" t="s">
        <v>31</v>
      </c>
      <c r="Z281" s="29" t="s">
        <v>32</v>
      </c>
      <c r="AA281" s="8" t="s">
        <v>31</v>
      </c>
    </row>
    <row r="282" spans="1:27" ht="18.75" customHeight="1" x14ac:dyDescent="0.2">
      <c r="A282" s="21" t="s">
        <v>415</v>
      </c>
      <c r="B282" s="21" t="s">
        <v>33</v>
      </c>
      <c r="C282" s="21">
        <v>2005</v>
      </c>
      <c r="D282" s="22" t="s">
        <v>418</v>
      </c>
      <c r="E282" s="20" t="s">
        <v>419</v>
      </c>
      <c r="F282" s="21">
        <v>3</v>
      </c>
      <c r="G282" s="21">
        <v>4</v>
      </c>
      <c r="H282" s="21"/>
      <c r="I282" s="24">
        <v>107.04</v>
      </c>
      <c r="J282" s="25">
        <v>12.01</v>
      </c>
      <c r="K282" s="21">
        <v>25</v>
      </c>
      <c r="L282" s="36">
        <v>759</v>
      </c>
      <c r="M282" s="36"/>
      <c r="N282" s="24">
        <v>107.28</v>
      </c>
      <c r="O282" s="25">
        <v>10.35</v>
      </c>
      <c r="P282" s="21">
        <v>25</v>
      </c>
      <c r="Q282" s="21"/>
      <c r="R282" s="27">
        <f t="shared" si="70"/>
        <v>2.1407990807067737E-2</v>
      </c>
      <c r="S282" s="21">
        <v>-1</v>
      </c>
      <c r="T282" s="23">
        <f t="shared" si="71"/>
        <v>-2.1407990807067737E-2</v>
      </c>
      <c r="U282" s="23">
        <f t="shared" si="69"/>
        <v>-2.1071739642558821E-2</v>
      </c>
      <c r="V282" s="23">
        <f t="shared" si="72"/>
        <v>-2.2824189999240733E-2</v>
      </c>
      <c r="W282" s="28"/>
      <c r="X282" s="21">
        <v>2</v>
      </c>
      <c r="Y282" s="8" t="s">
        <v>31</v>
      </c>
      <c r="Z282" s="29" t="s">
        <v>32</v>
      </c>
      <c r="AA282" s="8" t="s">
        <v>31</v>
      </c>
    </row>
    <row r="283" spans="1:27" ht="18.75" customHeight="1" x14ac:dyDescent="0.2">
      <c r="A283" s="21" t="s">
        <v>412</v>
      </c>
      <c r="B283" s="21" t="s">
        <v>38</v>
      </c>
      <c r="C283" s="21">
        <v>2007</v>
      </c>
      <c r="D283" s="22" t="s">
        <v>420</v>
      </c>
      <c r="E283" s="20" t="s">
        <v>421</v>
      </c>
      <c r="F283" s="21">
        <v>3</v>
      </c>
      <c r="G283" s="21">
        <v>5</v>
      </c>
      <c r="H283" s="21"/>
      <c r="I283" s="24">
        <v>101.48</v>
      </c>
      <c r="J283" s="25">
        <v>14.6</v>
      </c>
      <c r="K283" s="21">
        <v>25</v>
      </c>
      <c r="L283" s="36">
        <v>1286</v>
      </c>
      <c r="M283" s="36"/>
      <c r="N283" s="24">
        <v>106.98</v>
      </c>
      <c r="O283" s="25">
        <v>8.9</v>
      </c>
      <c r="P283" s="21">
        <v>45</v>
      </c>
      <c r="Q283" s="21"/>
      <c r="R283" s="27">
        <f t="shared" si="70"/>
        <v>0.45489512586732106</v>
      </c>
      <c r="S283" s="21">
        <v>-1</v>
      </c>
      <c r="T283" s="23">
        <f t="shared" si="71"/>
        <v>-0.48903579926812474</v>
      </c>
      <c r="U283" s="23">
        <f t="shared" si="69"/>
        <v>-0.48362211883342227</v>
      </c>
      <c r="V283" s="23">
        <f t="shared" si="72"/>
        <v>-0.61113644844313608</v>
      </c>
      <c r="W283" s="28"/>
      <c r="X283" s="21">
        <v>2</v>
      </c>
      <c r="Y283" s="8" t="s">
        <v>31</v>
      </c>
      <c r="Z283" s="29" t="s">
        <v>32</v>
      </c>
      <c r="AA283" s="8" t="s">
        <v>31</v>
      </c>
    </row>
    <row r="284" spans="1:27" ht="18.75" customHeight="1" x14ac:dyDescent="0.2">
      <c r="A284" s="21" t="s">
        <v>412</v>
      </c>
      <c r="B284" s="21" t="s">
        <v>127</v>
      </c>
      <c r="C284" s="21">
        <v>2018</v>
      </c>
      <c r="D284" s="22" t="s">
        <v>422</v>
      </c>
      <c r="E284" s="20" t="s">
        <v>422</v>
      </c>
      <c r="F284" s="21">
        <v>4</v>
      </c>
      <c r="G284" s="21">
        <v>6</v>
      </c>
      <c r="H284" s="21"/>
      <c r="I284" s="24">
        <v>103</v>
      </c>
      <c r="J284" s="25">
        <v>13.9</v>
      </c>
      <c r="K284" s="21">
        <v>38</v>
      </c>
      <c r="L284" s="36">
        <v>751</v>
      </c>
      <c r="M284" s="36"/>
      <c r="N284" s="24">
        <v>113.9</v>
      </c>
      <c r="O284" s="25">
        <v>9.6999999999999993</v>
      </c>
      <c r="P284" s="21">
        <v>39</v>
      </c>
      <c r="Q284" s="21"/>
      <c r="R284" s="27">
        <f t="shared" si="70"/>
        <v>0.90943922700898217</v>
      </c>
      <c r="S284" s="21">
        <v>-1</v>
      </c>
      <c r="T284" s="23">
        <f t="shared" si="71"/>
        <v>-0.91153821328041384</v>
      </c>
      <c r="U284" s="23">
        <f t="shared" si="69"/>
        <v>-0.90239234491974085</v>
      </c>
      <c r="V284" s="23">
        <f t="shared" si="72"/>
        <v>-1.112436644485054</v>
      </c>
      <c r="W284" s="28"/>
      <c r="X284" s="21">
        <v>1</v>
      </c>
      <c r="Y284" s="8" t="s">
        <v>63</v>
      </c>
      <c r="Z284" s="29" t="s">
        <v>32</v>
      </c>
      <c r="AA284" s="8" t="s">
        <v>48</v>
      </c>
    </row>
    <row r="285" spans="1:27" ht="18.75" customHeight="1" x14ac:dyDescent="0.2">
      <c r="A285" s="21" t="s">
        <v>412</v>
      </c>
      <c r="B285" s="21" t="s">
        <v>159</v>
      </c>
      <c r="C285" s="21">
        <v>2017</v>
      </c>
      <c r="D285" s="22" t="s">
        <v>423</v>
      </c>
      <c r="E285" s="20" t="s">
        <v>424</v>
      </c>
      <c r="F285" s="21">
        <v>5</v>
      </c>
      <c r="G285" s="21">
        <v>7</v>
      </c>
      <c r="H285" s="21"/>
      <c r="I285" s="24">
        <v>100</v>
      </c>
      <c r="J285" s="25">
        <v>12</v>
      </c>
      <c r="K285" s="21">
        <v>57</v>
      </c>
      <c r="L285" s="36">
        <v>655</v>
      </c>
      <c r="M285" s="36"/>
      <c r="N285" s="24">
        <v>108</v>
      </c>
      <c r="O285" s="25">
        <v>11</v>
      </c>
      <c r="P285" s="21">
        <v>57</v>
      </c>
      <c r="Q285" s="21"/>
      <c r="R285" s="27">
        <f t="shared" si="70"/>
        <v>0.69499558842091103</v>
      </c>
      <c r="S285" s="21">
        <v>-1</v>
      </c>
      <c r="T285" s="23">
        <f t="shared" si="71"/>
        <v>-0.69499558842091103</v>
      </c>
      <c r="U285" s="23">
        <f t="shared" si="69"/>
        <v>-0.69033118849862307</v>
      </c>
      <c r="V285" s="23">
        <f t="shared" si="72"/>
        <v>-0.72239170225747407</v>
      </c>
      <c r="W285" s="28"/>
      <c r="X285" s="21">
        <v>1</v>
      </c>
      <c r="Y285" s="8" t="s">
        <v>63</v>
      </c>
      <c r="Z285" s="29" t="s">
        <v>44</v>
      </c>
      <c r="AA285" s="8" t="s">
        <v>48</v>
      </c>
    </row>
    <row r="286" spans="1:27" ht="18.75" customHeight="1" x14ac:dyDescent="0.2">
      <c r="A286" s="21" t="s">
        <v>412</v>
      </c>
      <c r="B286" s="21" t="s">
        <v>41</v>
      </c>
      <c r="C286" s="21">
        <v>2007</v>
      </c>
      <c r="D286" s="22" t="s">
        <v>425</v>
      </c>
      <c r="E286" s="20" t="s">
        <v>425</v>
      </c>
      <c r="F286" s="21">
        <v>6</v>
      </c>
      <c r="G286" s="21">
        <v>8</v>
      </c>
      <c r="H286" s="21"/>
      <c r="I286" s="24">
        <v>101</v>
      </c>
      <c r="J286" s="25">
        <v>19.7</v>
      </c>
      <c r="K286" s="21">
        <v>12</v>
      </c>
      <c r="L286" s="36" t="s">
        <v>44</v>
      </c>
      <c r="M286" s="36"/>
      <c r="N286" s="24">
        <v>115</v>
      </c>
      <c r="O286" s="25">
        <v>14.2</v>
      </c>
      <c r="P286" s="21">
        <v>12</v>
      </c>
      <c r="Q286" s="21"/>
      <c r="R286" s="27">
        <f t="shared" si="70"/>
        <v>0.81529808624004929</v>
      </c>
      <c r="S286" s="21">
        <v>-1</v>
      </c>
      <c r="T286" s="23">
        <f t="shared" si="71"/>
        <v>-0.81529808624004929</v>
      </c>
      <c r="U286" s="23">
        <f t="shared" si="69"/>
        <v>-0.78718435912832352</v>
      </c>
      <c r="V286" s="23">
        <f t="shared" si="72"/>
        <v>-0.95191840699368635</v>
      </c>
      <c r="W286" s="28"/>
      <c r="X286" s="21">
        <v>1</v>
      </c>
      <c r="Y286" s="8" t="s">
        <v>63</v>
      </c>
      <c r="Z286" s="29" t="s">
        <v>234</v>
      </c>
      <c r="AA286" s="8" t="s">
        <v>48</v>
      </c>
    </row>
    <row r="287" spans="1:27" ht="18.75" customHeight="1" x14ac:dyDescent="0.2">
      <c r="A287" s="21" t="s">
        <v>412</v>
      </c>
      <c r="B287" s="21" t="s">
        <v>41</v>
      </c>
      <c r="C287" s="21">
        <v>2007</v>
      </c>
      <c r="D287" s="22" t="s">
        <v>426</v>
      </c>
      <c r="E287" s="20" t="s">
        <v>426</v>
      </c>
      <c r="F287" s="21">
        <v>6</v>
      </c>
      <c r="G287" s="21">
        <v>9</v>
      </c>
      <c r="H287" s="21"/>
      <c r="I287" s="24">
        <v>92</v>
      </c>
      <c r="J287" s="25">
        <v>12.5</v>
      </c>
      <c r="K287" s="21">
        <v>12</v>
      </c>
      <c r="L287" s="36" t="s">
        <v>44</v>
      </c>
      <c r="M287" s="36"/>
      <c r="N287" s="24">
        <v>106</v>
      </c>
      <c r="O287" s="25">
        <v>12.5</v>
      </c>
      <c r="P287" s="21">
        <v>12</v>
      </c>
      <c r="Q287" s="21"/>
      <c r="R287" s="27">
        <f t="shared" si="70"/>
        <v>1.1200000000000001</v>
      </c>
      <c r="S287" s="21">
        <v>-1</v>
      </c>
      <c r="T287" s="23">
        <f t="shared" si="71"/>
        <v>-1.1200000000000001</v>
      </c>
      <c r="U287" s="23">
        <f t="shared" si="69"/>
        <v>-1.0813793103448277</v>
      </c>
      <c r="V287" s="23">
        <f t="shared" si="72"/>
        <v>-1.0813793103448277</v>
      </c>
      <c r="W287" s="28"/>
      <c r="X287" s="21">
        <v>1</v>
      </c>
      <c r="Y287" s="8" t="s">
        <v>63</v>
      </c>
      <c r="Z287" s="29" t="s">
        <v>234</v>
      </c>
      <c r="AA287" s="8" t="s">
        <v>48</v>
      </c>
    </row>
    <row r="288" spans="1:27" ht="18.75" customHeight="1" x14ac:dyDescent="0.2">
      <c r="A288" s="21" t="s">
        <v>412</v>
      </c>
      <c r="B288" s="21" t="s">
        <v>41</v>
      </c>
      <c r="C288" s="21">
        <v>2007</v>
      </c>
      <c r="D288" s="22" t="s">
        <v>427</v>
      </c>
      <c r="E288" s="20" t="s">
        <v>427</v>
      </c>
      <c r="F288" s="21">
        <v>6</v>
      </c>
      <c r="G288" s="21">
        <v>10</v>
      </c>
      <c r="H288" s="21"/>
      <c r="I288" s="24">
        <v>103</v>
      </c>
      <c r="J288" s="25">
        <v>19.7</v>
      </c>
      <c r="K288" s="21">
        <v>12</v>
      </c>
      <c r="L288" s="36" t="s">
        <v>44</v>
      </c>
      <c r="M288" s="36"/>
      <c r="N288" s="24">
        <v>101</v>
      </c>
      <c r="O288" s="25">
        <v>12.5</v>
      </c>
      <c r="P288" s="21">
        <v>12</v>
      </c>
      <c r="Q288" s="21"/>
      <c r="R288" s="27">
        <f t="shared" si="70"/>
        <v>-0.12122993408134736</v>
      </c>
      <c r="S288" s="21">
        <v>-1</v>
      </c>
      <c r="T288" s="23">
        <f t="shared" si="71"/>
        <v>0.12122993408134733</v>
      </c>
      <c r="U288" s="23">
        <f t="shared" si="69"/>
        <v>0.11704959152681811</v>
      </c>
      <c r="V288" s="23">
        <f t="shared" si="72"/>
        <v>0.15448275862068966</v>
      </c>
      <c r="W288" s="28"/>
      <c r="X288" s="21">
        <v>1</v>
      </c>
      <c r="Y288" s="8" t="s">
        <v>63</v>
      </c>
      <c r="Z288" s="29" t="s">
        <v>234</v>
      </c>
      <c r="AA288" s="8" t="s">
        <v>48</v>
      </c>
    </row>
    <row r="289" spans="1:27" ht="18.75" customHeight="1" x14ac:dyDescent="0.2">
      <c r="A289" s="21" t="s">
        <v>412</v>
      </c>
      <c r="B289" s="21" t="s">
        <v>53</v>
      </c>
      <c r="C289" s="21">
        <v>2015</v>
      </c>
      <c r="D289" s="22" t="s">
        <v>428</v>
      </c>
      <c r="E289" s="20" t="s">
        <v>428</v>
      </c>
      <c r="F289" s="21">
        <v>7</v>
      </c>
      <c r="G289" s="21">
        <v>11</v>
      </c>
      <c r="H289" s="21"/>
      <c r="I289" s="24">
        <v>97.64</v>
      </c>
      <c r="J289" s="25">
        <v>10.75</v>
      </c>
      <c r="K289" s="21">
        <v>14</v>
      </c>
      <c r="L289" s="36" t="s">
        <v>44</v>
      </c>
      <c r="M289" s="36"/>
      <c r="N289" s="24">
        <v>114.07</v>
      </c>
      <c r="O289" s="25">
        <v>8.91</v>
      </c>
      <c r="P289" s="21">
        <v>14</v>
      </c>
      <c r="Q289" s="21"/>
      <c r="R289" s="27">
        <f t="shared" si="70"/>
        <v>1.6641415847376684</v>
      </c>
      <c r="S289" s="21">
        <v>-1</v>
      </c>
      <c r="T289" s="23">
        <f t="shared" si="71"/>
        <v>-1.6641415847376684</v>
      </c>
      <c r="U289" s="23">
        <f t="shared" si="69"/>
        <v>-1.6156714414928819</v>
      </c>
      <c r="V289" s="23">
        <f t="shared" si="72"/>
        <v>-1.7902869035555111</v>
      </c>
      <c r="W289" s="28"/>
      <c r="X289" s="21">
        <v>3</v>
      </c>
      <c r="Y289" s="8" t="s">
        <v>57</v>
      </c>
      <c r="Z289" s="29" t="s">
        <v>32</v>
      </c>
      <c r="AA289" s="8" t="s">
        <v>57</v>
      </c>
    </row>
    <row r="290" spans="1:27" ht="18.75" customHeight="1" x14ac:dyDescent="0.2">
      <c r="A290" s="21" t="s">
        <v>412</v>
      </c>
      <c r="B290" s="21" t="s">
        <v>319</v>
      </c>
      <c r="C290" s="21">
        <v>1998</v>
      </c>
      <c r="D290" s="22" t="s">
        <v>428</v>
      </c>
      <c r="E290" s="20" t="s">
        <v>428</v>
      </c>
      <c r="F290" s="21">
        <v>8</v>
      </c>
      <c r="G290" s="21">
        <v>12</v>
      </c>
      <c r="H290" s="21"/>
      <c r="I290" s="24">
        <v>97.6</v>
      </c>
      <c r="J290" s="25">
        <v>15.7</v>
      </c>
      <c r="K290" s="21">
        <v>57</v>
      </c>
      <c r="L290" s="36">
        <v>1085</v>
      </c>
      <c r="M290" s="36"/>
      <c r="N290" s="24">
        <v>105.5</v>
      </c>
      <c r="O290" s="25">
        <v>16.100000000000001</v>
      </c>
      <c r="P290" s="21">
        <v>40</v>
      </c>
      <c r="Q290" s="21"/>
      <c r="R290" s="27">
        <f t="shared" si="70"/>
        <v>0.49681604395445206</v>
      </c>
      <c r="S290" s="21">
        <v>-1</v>
      </c>
      <c r="T290" s="23">
        <f t="shared" si="71"/>
        <v>-0.49793794416260784</v>
      </c>
      <c r="U290" s="23">
        <f t="shared" si="69"/>
        <v>-0.49399648286316766</v>
      </c>
      <c r="V290" s="23">
        <f t="shared" si="72"/>
        <v>-0.48679919369376784</v>
      </c>
      <c r="W290" s="28"/>
      <c r="X290" s="21">
        <v>4</v>
      </c>
      <c r="Y290" s="8" t="s">
        <v>81</v>
      </c>
      <c r="Z290" s="29" t="s">
        <v>44</v>
      </c>
      <c r="AA290" s="8" t="s">
        <v>81</v>
      </c>
    </row>
    <row r="291" spans="1:27" ht="18.75" customHeight="1" x14ac:dyDescent="0.2">
      <c r="A291" s="21" t="s">
        <v>412</v>
      </c>
      <c r="B291" s="21" t="s">
        <v>72</v>
      </c>
      <c r="C291" s="21">
        <v>1994</v>
      </c>
      <c r="D291" s="22" t="s">
        <v>428</v>
      </c>
      <c r="E291" s="20" t="s">
        <v>428</v>
      </c>
      <c r="F291" s="21">
        <v>9</v>
      </c>
      <c r="G291" s="21">
        <v>13</v>
      </c>
      <c r="H291" s="21"/>
      <c r="I291" s="24">
        <v>90</v>
      </c>
      <c r="J291" s="25">
        <v>11</v>
      </c>
      <c r="K291" s="21">
        <v>25</v>
      </c>
      <c r="L291" s="36">
        <v>1945</v>
      </c>
      <c r="M291" s="36"/>
      <c r="N291" s="24">
        <v>100</v>
      </c>
      <c r="O291" s="25">
        <v>9</v>
      </c>
      <c r="P291" s="21">
        <v>15</v>
      </c>
      <c r="Q291" s="21"/>
      <c r="R291" s="27">
        <f t="shared" si="70"/>
        <v>0.99503719020998915</v>
      </c>
      <c r="S291" s="21">
        <v>-1</v>
      </c>
      <c r="T291" s="23">
        <f t="shared" si="71"/>
        <v>-0.97008243498103919</v>
      </c>
      <c r="U291" s="23">
        <f t="shared" si="69"/>
        <v>-0.95080927402115101</v>
      </c>
      <c r="V291" s="23">
        <f t="shared" si="72"/>
        <v>-1.0890360559234733</v>
      </c>
      <c r="W291" s="28"/>
      <c r="X291" s="21">
        <v>2</v>
      </c>
      <c r="Y291" s="8" t="s">
        <v>31</v>
      </c>
      <c r="Z291" s="29" t="s">
        <v>32</v>
      </c>
      <c r="AA291" s="8" t="s">
        <v>31</v>
      </c>
    </row>
    <row r="292" spans="1:27" ht="18.75" customHeight="1" x14ac:dyDescent="0.2">
      <c r="A292" s="21" t="s">
        <v>412</v>
      </c>
      <c r="B292" s="21" t="s">
        <v>82</v>
      </c>
      <c r="C292" s="21">
        <v>2013</v>
      </c>
      <c r="D292" s="22" t="s">
        <v>429</v>
      </c>
      <c r="E292" s="20" t="s">
        <v>430</v>
      </c>
      <c r="F292" s="21">
        <v>10</v>
      </c>
      <c r="G292" s="21">
        <v>14</v>
      </c>
      <c r="H292" s="21"/>
      <c r="I292" s="24">
        <v>89.8</v>
      </c>
      <c r="J292" s="25">
        <v>20.72</v>
      </c>
      <c r="K292" s="21">
        <v>57</v>
      </c>
      <c r="L292" s="36">
        <v>810</v>
      </c>
      <c r="M292" s="36"/>
      <c r="N292" s="24">
        <v>103.3</v>
      </c>
      <c r="O292" s="25">
        <v>16.5</v>
      </c>
      <c r="P292" s="21">
        <v>46</v>
      </c>
      <c r="Q292" s="21"/>
      <c r="R292" s="27">
        <f t="shared" si="70"/>
        <v>0.72079830492902019</v>
      </c>
      <c r="S292" s="21">
        <v>-1</v>
      </c>
      <c r="T292" s="23">
        <f t="shared" si="71"/>
        <v>-0.71216813849226457</v>
      </c>
      <c r="U292" s="23">
        <f t="shared" si="69"/>
        <v>-0.70686663870199962</v>
      </c>
      <c r="V292" s="23">
        <f t="shared" si="72"/>
        <v>-0.81209113467177996</v>
      </c>
      <c r="W292" s="28"/>
      <c r="X292" s="21">
        <v>3</v>
      </c>
      <c r="Y292" s="8" t="s">
        <v>85</v>
      </c>
      <c r="Z292" s="29" t="s">
        <v>44</v>
      </c>
      <c r="AA292" s="8" t="s">
        <v>85</v>
      </c>
    </row>
    <row r="293" spans="1:27" ht="18.75" customHeight="1" x14ac:dyDescent="0.2">
      <c r="A293" s="21" t="s">
        <v>412</v>
      </c>
      <c r="B293" s="21" t="s">
        <v>77</v>
      </c>
      <c r="C293" s="21">
        <v>2020</v>
      </c>
      <c r="D293" s="22" t="s">
        <v>430</v>
      </c>
      <c r="E293" s="20" t="s">
        <v>430</v>
      </c>
      <c r="F293" s="21">
        <v>11</v>
      </c>
      <c r="G293" s="21">
        <v>15</v>
      </c>
      <c r="H293" s="21"/>
      <c r="I293" s="24">
        <v>98.9</v>
      </c>
      <c r="J293" s="25">
        <v>15</v>
      </c>
      <c r="K293" s="21">
        <v>19</v>
      </c>
      <c r="L293" s="26">
        <v>1042</v>
      </c>
      <c r="M293" s="26"/>
      <c r="N293" s="24">
        <v>110.1</v>
      </c>
      <c r="O293" s="25">
        <v>12</v>
      </c>
      <c r="P293" s="21">
        <v>19</v>
      </c>
      <c r="Q293" s="21"/>
      <c r="R293" s="27">
        <f t="shared" si="70"/>
        <v>0.82455539469218675</v>
      </c>
      <c r="S293" s="21">
        <v>-1</v>
      </c>
      <c r="T293" s="23">
        <f t="shared" si="71"/>
        <v>-0.82455539469218675</v>
      </c>
      <c r="U293" s="23">
        <f t="shared" si="69"/>
        <v>-0.8072570297685745</v>
      </c>
      <c r="V293" s="23">
        <f t="shared" si="72"/>
        <v>-0.91375291375291279</v>
      </c>
      <c r="W293" s="28"/>
      <c r="X293" s="21">
        <v>1</v>
      </c>
      <c r="Y293" s="8" t="s">
        <v>63</v>
      </c>
      <c r="Z293" s="29" t="s">
        <v>44</v>
      </c>
      <c r="AA293" s="8" t="s">
        <v>48</v>
      </c>
    </row>
    <row r="294" spans="1:27" ht="18.75" customHeight="1" x14ac:dyDescent="0.2">
      <c r="A294" s="21" t="s">
        <v>415</v>
      </c>
      <c r="B294" s="20" t="s">
        <v>73</v>
      </c>
      <c r="C294" s="8">
        <v>1996</v>
      </c>
      <c r="D294" s="53" t="s">
        <v>430</v>
      </c>
      <c r="E294" s="20" t="s">
        <v>430</v>
      </c>
      <c r="F294" s="21">
        <v>12</v>
      </c>
      <c r="G294" s="21">
        <v>16</v>
      </c>
      <c r="H294" s="21"/>
      <c r="I294" s="24">
        <v>96</v>
      </c>
      <c r="J294" s="51">
        <f>(108-79)/4</f>
        <v>7.25</v>
      </c>
      <c r="K294" s="21">
        <v>11</v>
      </c>
      <c r="L294" s="26">
        <v>566</v>
      </c>
      <c r="M294" s="26"/>
      <c r="N294" s="24">
        <v>101</v>
      </c>
      <c r="O294" s="25">
        <f>(121-84)/4</f>
        <v>9.25</v>
      </c>
      <c r="P294" s="21">
        <v>22</v>
      </c>
      <c r="Q294" s="21"/>
      <c r="R294" s="27">
        <f t="shared" si="70"/>
        <v>0.60165683759618682</v>
      </c>
      <c r="S294" s="21">
        <v>-1</v>
      </c>
      <c r="T294" s="23">
        <f t="shared" si="71"/>
        <v>-0.57766869588422409</v>
      </c>
      <c r="U294" s="23">
        <f t="shared" si="69"/>
        <v>-0.56357921549680401</v>
      </c>
      <c r="V294" s="23">
        <f t="shared" si="72"/>
        <v>-0.52735662491760049</v>
      </c>
      <c r="W294" s="28"/>
      <c r="X294" s="31" t="s">
        <v>75</v>
      </c>
      <c r="Y294" s="32" t="s">
        <v>75</v>
      </c>
      <c r="Z294" s="29" t="s">
        <v>44</v>
      </c>
      <c r="AA294" s="32" t="s">
        <v>75</v>
      </c>
    </row>
    <row r="295" spans="1:27" ht="18.75" customHeight="1" x14ac:dyDescent="0.2">
      <c r="A295" s="21" t="s">
        <v>415</v>
      </c>
      <c r="B295" s="20" t="s">
        <v>76</v>
      </c>
      <c r="C295" s="21">
        <v>1996</v>
      </c>
      <c r="D295" s="22" t="s">
        <v>430</v>
      </c>
      <c r="E295" s="20" t="s">
        <v>430</v>
      </c>
      <c r="F295" s="21">
        <v>12</v>
      </c>
      <c r="G295" s="21">
        <v>16</v>
      </c>
      <c r="H295" s="21"/>
      <c r="I295" s="24">
        <v>95</v>
      </c>
      <c r="J295" s="25">
        <f>(108-79)/4</f>
        <v>7.25</v>
      </c>
      <c r="K295" s="21">
        <v>11</v>
      </c>
      <c r="L295" s="26">
        <v>1545</v>
      </c>
      <c r="M295" s="26"/>
      <c r="N295" s="24">
        <v>101</v>
      </c>
      <c r="O295" s="25">
        <f>(121-84)/4</f>
        <v>9.25</v>
      </c>
      <c r="P295" s="21">
        <v>22</v>
      </c>
      <c r="Q295" s="21"/>
      <c r="R295" s="27">
        <f t="shared" si="70"/>
        <v>0.72198820511542416</v>
      </c>
      <c r="S295" s="21">
        <v>-1</v>
      </c>
      <c r="T295" s="23">
        <f t="shared" si="71"/>
        <v>-0.69320243506106893</v>
      </c>
      <c r="U295" s="23">
        <f t="shared" si="69"/>
        <v>-0.67629505859616479</v>
      </c>
      <c r="V295" s="23">
        <f t="shared" si="72"/>
        <v>-0.63282794990112068</v>
      </c>
      <c r="W295" s="28"/>
      <c r="X295" s="31" t="s">
        <v>75</v>
      </c>
      <c r="Y295" s="32" t="s">
        <v>75</v>
      </c>
      <c r="Z295" s="29" t="s">
        <v>44</v>
      </c>
      <c r="AA295" s="32" t="s">
        <v>75</v>
      </c>
    </row>
    <row r="296" spans="1:27" ht="18.75" customHeight="1" x14ac:dyDescent="0.2">
      <c r="A296" s="21" t="s">
        <v>415</v>
      </c>
      <c r="B296" s="47" t="s">
        <v>112</v>
      </c>
      <c r="C296" s="21">
        <v>1996</v>
      </c>
      <c r="D296" s="22" t="s">
        <v>430</v>
      </c>
      <c r="E296" s="20" t="s">
        <v>430</v>
      </c>
      <c r="F296" s="21">
        <v>13</v>
      </c>
      <c r="G296" s="21">
        <v>17</v>
      </c>
      <c r="H296" s="21"/>
      <c r="I296" s="24">
        <v>82</v>
      </c>
      <c r="J296" s="25">
        <v>14</v>
      </c>
      <c r="K296" s="21">
        <v>8</v>
      </c>
      <c r="L296" s="26">
        <v>1253.0999999999999</v>
      </c>
      <c r="M296" s="26"/>
      <c r="N296" s="24">
        <v>92.2</v>
      </c>
      <c r="O296" s="25">
        <v>8.5</v>
      </c>
      <c r="P296" s="21">
        <v>8</v>
      </c>
      <c r="Q296" s="21"/>
      <c r="R296" s="27">
        <f t="shared" si="70"/>
        <v>0.88073509922374515</v>
      </c>
      <c r="S296" s="21">
        <v>-1</v>
      </c>
      <c r="T296" s="23">
        <f t="shared" si="71"/>
        <v>-0.88073509922374515</v>
      </c>
      <c r="U296" s="23">
        <f t="shared" si="69"/>
        <v>-0.83269500290244991</v>
      </c>
      <c r="V296" s="23">
        <f t="shared" si="72"/>
        <v>-1.134545454545455</v>
      </c>
      <c r="W296" s="28"/>
      <c r="X296" s="31" t="s">
        <v>75</v>
      </c>
      <c r="Y296" s="32" t="s">
        <v>75</v>
      </c>
      <c r="Z296" s="29" t="s">
        <v>44</v>
      </c>
      <c r="AA296" s="32" t="s">
        <v>75</v>
      </c>
    </row>
    <row r="297" spans="1:27" ht="18.75" customHeight="1" x14ac:dyDescent="0.2">
      <c r="A297" s="21"/>
      <c r="C297" s="21"/>
      <c r="E297" s="20"/>
      <c r="F297" s="21"/>
      <c r="G297" s="21"/>
      <c r="H297" s="21"/>
      <c r="I297" s="21"/>
      <c r="J297" s="25">
        <f>AVERAGE(J280:J296)</f>
        <v>13.248823529411764</v>
      </c>
      <c r="K297" s="38">
        <f>SUM(K296,K294,K293,K292,K291,K290,K289,K288,K285,K284,K283,K282,K281,K279)</f>
        <v>376</v>
      </c>
      <c r="L297" s="39"/>
      <c r="M297" s="39"/>
      <c r="N297" s="21"/>
      <c r="O297" s="25">
        <f>AVERAGE(O280:O296)</f>
        <v>11.17235294117647</v>
      </c>
      <c r="P297" s="38">
        <f>SUM(P296,P294,P293,P292,P291,P290,P289,P288,P285,P284,P283,P282,P281,P279)</f>
        <v>377</v>
      </c>
      <c r="Q297" s="21"/>
      <c r="R297" s="27"/>
      <c r="S297" s="21"/>
      <c r="T297" s="41">
        <f>AVERAGE(T279:T296)</f>
        <v>-0.60291398054807466</v>
      </c>
      <c r="U297" s="41">
        <f>AVERAGE(U279:U296)</f>
        <v>-0.58861171527342571</v>
      </c>
      <c r="V297" s="41">
        <f>AVERAGE(V279:V296)</f>
        <v>-0.65739282893945972</v>
      </c>
      <c r="W297" s="28"/>
      <c r="X297" s="21"/>
      <c r="Y297" s="8"/>
      <c r="Z297" s="29"/>
      <c r="AA297" s="32"/>
    </row>
    <row r="298" spans="1:27" ht="18.75" customHeight="1" x14ac:dyDescent="0.2">
      <c r="A298" s="21"/>
      <c r="C298" s="21"/>
      <c r="E298" s="20"/>
      <c r="F298" s="21"/>
      <c r="G298" s="21"/>
      <c r="H298" s="21"/>
      <c r="I298" s="21"/>
      <c r="J298" s="25"/>
      <c r="K298" s="21"/>
      <c r="L298" s="47"/>
      <c r="M298" s="47"/>
      <c r="N298" s="21"/>
      <c r="O298" s="25"/>
      <c r="P298" s="21"/>
      <c r="Q298" s="21"/>
      <c r="R298" s="27"/>
      <c r="S298" s="21"/>
      <c r="T298" s="44">
        <f>STDEV(T278:T296)</f>
        <v>0.45655309570274893</v>
      </c>
      <c r="U298" s="44">
        <f>STDEV(U278:U296)</f>
        <v>0.44343619239722171</v>
      </c>
      <c r="V298" s="44">
        <f>STDEV(V278:V296)</f>
        <v>0.50612529956558949</v>
      </c>
      <c r="W298" s="21"/>
      <c r="X298" s="21"/>
      <c r="Y298" s="8"/>
      <c r="Z298" s="29"/>
    </row>
    <row r="299" spans="1:27" s="19" customFormat="1" ht="18.75" customHeight="1" x14ac:dyDescent="0.2">
      <c r="B299" s="38"/>
      <c r="D299" s="55"/>
      <c r="E299" s="18"/>
      <c r="J299" s="56"/>
      <c r="L299" s="18"/>
      <c r="M299" s="18"/>
      <c r="O299" s="56"/>
      <c r="X299" s="18"/>
      <c r="Y299" s="18"/>
    </row>
    <row r="300" spans="1:27" ht="18.75" customHeight="1" x14ac:dyDescent="0.25">
      <c r="J300" s="57"/>
      <c r="L300" s="58">
        <f>AVERAGE(L279:L292)</f>
        <v>987.9</v>
      </c>
      <c r="M300" s="58"/>
      <c r="O300" s="57"/>
      <c r="R300" s="59"/>
      <c r="T300" s="58"/>
      <c r="U300" s="58"/>
      <c r="V300" s="60"/>
    </row>
    <row r="301" spans="1:27" ht="18.75" customHeight="1" x14ac:dyDescent="0.25">
      <c r="J301" s="57"/>
      <c r="L301" s="61">
        <f>STDEV(L279:L292)</f>
        <v>381.87416484724105</v>
      </c>
      <c r="M301" s="61"/>
      <c r="O301" s="57"/>
    </row>
    <row r="302" spans="1:27" ht="18.75" customHeight="1" x14ac:dyDescent="0.25">
      <c r="J302" s="58">
        <f>AVERAGE(J275,J253,J238,J249,J151,J212,J229,J201,J189,J178,J162,J132,J105,J257,J120, J88,J72,J51,J43)</f>
        <v>37.311487850455933</v>
      </c>
      <c r="O302" s="58">
        <f>AVERAGE(O275,O253,O238,O249,O151,O212,O229,O201,O189,O178,O162,O132,O105,O257,O120, O88,O72,O51,O43)</f>
        <v>26.933220781049496</v>
      </c>
      <c r="R302" s="8" t="s">
        <v>431</v>
      </c>
    </row>
    <row r="303" spans="1:27" ht="18.75" customHeight="1" x14ac:dyDescent="0.25">
      <c r="A303" s="8" t="s">
        <v>432</v>
      </c>
      <c r="J303" s="57"/>
      <c r="O303" s="57"/>
    </row>
    <row r="304" spans="1:27" ht="18.75" customHeight="1" x14ac:dyDescent="0.25">
      <c r="A304" s="133"/>
      <c r="B304" s="21" t="s">
        <v>433</v>
      </c>
      <c r="J304" s="57"/>
      <c r="O304" s="57"/>
    </row>
    <row r="305" spans="3:16" ht="18.75" customHeight="1" x14ac:dyDescent="0.25">
      <c r="J305" s="57"/>
      <c r="O305" s="57"/>
    </row>
    <row r="307" spans="3:16" ht="18.75" customHeight="1" x14ac:dyDescent="0.25">
      <c r="C307" s="8">
        <v>1996</v>
      </c>
      <c r="D307" s="53" t="s">
        <v>430</v>
      </c>
      <c r="E307" s="29" t="s">
        <v>430</v>
      </c>
      <c r="H307" s="8">
        <v>96</v>
      </c>
      <c r="I307" s="8">
        <v>7.25</v>
      </c>
      <c r="J307" s="62">
        <v>22</v>
      </c>
      <c r="K307" s="8">
        <v>566</v>
      </c>
      <c r="L307" s="29">
        <v>101</v>
      </c>
      <c r="M307" s="29">
        <v>9.25</v>
      </c>
      <c r="N307" s="8">
        <v>22</v>
      </c>
      <c r="O307" s="62">
        <v>-1</v>
      </c>
      <c r="P307" s="8" t="s">
        <v>75</v>
      </c>
    </row>
  </sheetData>
  <mergeCells count="3">
    <mergeCell ref="I3:K3"/>
    <mergeCell ref="N3:P3"/>
    <mergeCell ref="R3:V3"/>
  </mergeCells>
  <phoneticPr fontId="18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7A8A3-5378-4350-A1C7-E1FB44EF26B9}">
  <dimension ref="A2:W40"/>
  <sheetViews>
    <sheetView topLeftCell="A11" workbookViewId="0">
      <selection activeCell="U35" sqref="U35"/>
    </sheetView>
  </sheetViews>
  <sheetFormatPr defaultColWidth="8.85546875" defaultRowHeight="20.25" customHeight="1" x14ac:dyDescent="0.25"/>
  <cols>
    <col min="3" max="3" width="7.85546875" customWidth="1"/>
    <col min="4" max="4" width="16" customWidth="1"/>
    <col min="6" max="6" width="3.140625" customWidth="1"/>
    <col min="7" max="7" width="6.85546875" customWidth="1"/>
    <col min="8" max="8" width="5.7109375" customWidth="1"/>
    <col min="10" max="10" width="6.140625" customWidth="1"/>
    <col min="11" max="11" width="2.28515625" customWidth="1"/>
    <col min="14" max="14" width="2.7109375" customWidth="1"/>
    <col min="15" max="15" width="5.28515625" customWidth="1"/>
    <col min="16" max="16" width="5.7109375" customWidth="1"/>
    <col min="18" max="18" width="5.28515625" customWidth="1"/>
    <col min="19" max="19" width="2.42578125" customWidth="1"/>
    <col min="20" max="20" width="6" customWidth="1"/>
    <col min="21" max="21" width="12.85546875" customWidth="1"/>
    <col min="22" max="22" width="2.85546875" customWidth="1"/>
    <col min="23" max="23" width="8.42578125" customWidth="1"/>
  </cols>
  <sheetData>
    <row r="2" spans="2:23" ht="20.25" customHeight="1" x14ac:dyDescent="0.25">
      <c r="B2" s="115"/>
      <c r="C2" s="115"/>
      <c r="D2" s="115"/>
      <c r="E2" s="115"/>
      <c r="F2" s="115"/>
      <c r="G2" s="295" t="s">
        <v>0</v>
      </c>
      <c r="H2" s="295"/>
      <c r="I2" s="295"/>
      <c r="J2" s="295"/>
      <c r="K2" s="295"/>
      <c r="L2" s="295"/>
      <c r="M2" s="295"/>
      <c r="N2" s="115"/>
      <c r="O2" s="295" t="s">
        <v>1</v>
      </c>
      <c r="P2" s="295"/>
      <c r="Q2" s="295"/>
      <c r="R2" s="295"/>
      <c r="S2" s="115"/>
      <c r="T2" s="115"/>
      <c r="U2" s="115"/>
      <c r="V2" s="115"/>
      <c r="W2" s="115"/>
    </row>
    <row r="3" spans="2:23" ht="26.25" customHeight="1" x14ac:dyDescent="0.25">
      <c r="B3" s="112"/>
      <c r="C3" s="301"/>
      <c r="D3" s="301"/>
      <c r="E3" s="112"/>
      <c r="F3" s="112"/>
      <c r="G3" s="111"/>
      <c r="H3" s="111"/>
      <c r="I3" s="302" t="s">
        <v>434</v>
      </c>
      <c r="J3" s="302"/>
      <c r="K3" s="110"/>
      <c r="L3" s="297" t="s">
        <v>435</v>
      </c>
      <c r="M3" s="297"/>
      <c r="N3" s="112"/>
      <c r="O3" s="112"/>
      <c r="P3" s="112"/>
      <c r="Q3" s="302" t="s">
        <v>434</v>
      </c>
      <c r="R3" s="302"/>
      <c r="S3" s="112"/>
      <c r="T3" s="297" t="s">
        <v>436</v>
      </c>
      <c r="U3" s="297"/>
      <c r="V3" s="113"/>
      <c r="W3" s="297" t="s">
        <v>437</v>
      </c>
    </row>
    <row r="4" spans="2:23" ht="20.25" customHeight="1" x14ac:dyDescent="0.25">
      <c r="B4" s="110" t="s">
        <v>438</v>
      </c>
      <c r="C4" s="299" t="s">
        <v>439</v>
      </c>
      <c r="D4" s="299"/>
      <c r="E4" s="110" t="s">
        <v>440</v>
      </c>
      <c r="F4" s="111"/>
      <c r="G4" s="116" t="s">
        <v>441</v>
      </c>
      <c r="H4" s="116" t="s">
        <v>442</v>
      </c>
      <c r="I4" s="116" t="s">
        <v>10</v>
      </c>
      <c r="J4" s="116" t="s">
        <v>11</v>
      </c>
      <c r="K4" s="117"/>
      <c r="L4" s="116" t="s">
        <v>10</v>
      </c>
      <c r="M4" s="116" t="s">
        <v>11</v>
      </c>
      <c r="N4" s="111"/>
      <c r="O4" s="116" t="s">
        <v>441</v>
      </c>
      <c r="P4" s="116" t="s">
        <v>442</v>
      </c>
      <c r="Q4" s="116" t="s">
        <v>10</v>
      </c>
      <c r="R4" s="116" t="s">
        <v>11</v>
      </c>
      <c r="S4" s="111"/>
      <c r="T4" s="298"/>
      <c r="U4" s="298"/>
      <c r="V4" s="113"/>
      <c r="W4" s="298"/>
    </row>
    <row r="5" spans="2:23" ht="24.75" customHeight="1" x14ac:dyDescent="0.25">
      <c r="B5" s="296" t="s">
        <v>568</v>
      </c>
      <c r="C5" s="296"/>
      <c r="D5" s="139" t="s">
        <v>570</v>
      </c>
      <c r="E5" s="140" t="s">
        <v>569</v>
      </c>
      <c r="F5" s="111"/>
      <c r="G5" s="140">
        <v>20</v>
      </c>
      <c r="H5" s="140">
        <v>10</v>
      </c>
      <c r="I5" s="140">
        <v>31.4</v>
      </c>
      <c r="J5" s="140">
        <v>9</v>
      </c>
      <c r="K5" s="141"/>
      <c r="L5" s="140">
        <v>702.6</v>
      </c>
      <c r="M5" s="146">
        <v>203.3</v>
      </c>
      <c r="N5" s="141"/>
      <c r="O5" s="140">
        <v>40</v>
      </c>
      <c r="P5" s="140">
        <v>20</v>
      </c>
      <c r="Q5" s="140">
        <v>29.8</v>
      </c>
      <c r="R5" s="142">
        <v>8.1999999999999993</v>
      </c>
      <c r="S5" s="111"/>
      <c r="T5" s="143" t="s">
        <v>449</v>
      </c>
      <c r="U5" s="142"/>
      <c r="V5" s="144"/>
      <c r="W5" s="145" t="s">
        <v>458</v>
      </c>
    </row>
    <row r="6" spans="2:23" s="23" customFormat="1" ht="24.75" customHeight="1" x14ac:dyDescent="0.2">
      <c r="B6" s="305" t="s">
        <v>548</v>
      </c>
      <c r="C6" s="305"/>
      <c r="E6" s="107" t="s">
        <v>451</v>
      </c>
      <c r="G6" s="26">
        <v>154</v>
      </c>
      <c r="H6" s="26">
        <v>85</v>
      </c>
      <c r="I6" s="23">
        <v>32.299999999999997</v>
      </c>
      <c r="J6" s="23">
        <v>9.0399999999999991</v>
      </c>
      <c r="L6" s="119">
        <v>908</v>
      </c>
      <c r="M6" s="26">
        <v>359</v>
      </c>
      <c r="O6" s="23">
        <v>76</v>
      </c>
      <c r="P6" s="26">
        <v>46</v>
      </c>
      <c r="Q6" s="23">
        <v>36.299999999999997</v>
      </c>
      <c r="R6" s="23">
        <v>9.15</v>
      </c>
      <c r="T6" s="81" t="s">
        <v>449</v>
      </c>
      <c r="U6" s="107" t="s">
        <v>75</v>
      </c>
      <c r="W6" s="23" t="s">
        <v>458</v>
      </c>
    </row>
    <row r="7" spans="2:23" ht="24.75" customHeight="1" x14ac:dyDescent="0.25">
      <c r="B7" s="303" t="s">
        <v>443</v>
      </c>
      <c r="C7" s="303"/>
      <c r="D7" s="64"/>
      <c r="E7" s="65" t="s">
        <v>444</v>
      </c>
      <c r="F7" s="64"/>
      <c r="G7" s="66">
        <v>46</v>
      </c>
      <c r="H7" s="66">
        <v>21</v>
      </c>
      <c r="I7" s="65">
        <v>29.5</v>
      </c>
      <c r="J7" s="65" t="s">
        <v>44</v>
      </c>
      <c r="K7" s="64"/>
      <c r="L7" s="118">
        <v>594.79999999999995</v>
      </c>
      <c r="M7" s="66">
        <v>279</v>
      </c>
      <c r="N7" s="67"/>
      <c r="O7" s="66">
        <v>31</v>
      </c>
      <c r="P7" s="65">
        <v>11</v>
      </c>
      <c r="Q7" s="65">
        <v>25</v>
      </c>
      <c r="R7" s="65" t="s">
        <v>44</v>
      </c>
      <c r="S7" s="64"/>
      <c r="T7" s="68" t="s">
        <v>445</v>
      </c>
      <c r="U7" s="65" t="s">
        <v>75</v>
      </c>
      <c r="V7" s="65"/>
      <c r="W7" s="66" t="s">
        <v>75</v>
      </c>
    </row>
    <row r="8" spans="2:23" ht="24.75" customHeight="1" x14ac:dyDescent="0.25">
      <c r="B8" s="300" t="s">
        <v>446</v>
      </c>
      <c r="C8" s="300"/>
      <c r="D8" s="69" t="s">
        <v>447</v>
      </c>
      <c r="E8" s="70" t="s">
        <v>448</v>
      </c>
      <c r="F8" s="64"/>
      <c r="G8" s="70">
        <v>8</v>
      </c>
      <c r="H8" s="71">
        <v>3</v>
      </c>
      <c r="I8" s="71">
        <v>19.7</v>
      </c>
      <c r="J8" s="70">
        <v>1.1000000000000001</v>
      </c>
      <c r="K8" s="71"/>
      <c r="L8" s="71">
        <v>870</v>
      </c>
      <c r="M8" s="71">
        <v>186</v>
      </c>
      <c r="N8" s="70"/>
      <c r="O8" s="70">
        <v>8</v>
      </c>
      <c r="P8" s="71">
        <v>3</v>
      </c>
      <c r="Q8" s="70">
        <v>20.2</v>
      </c>
      <c r="R8" s="70">
        <v>2.4</v>
      </c>
      <c r="S8" s="64"/>
      <c r="T8" s="70" t="s">
        <v>449</v>
      </c>
      <c r="U8" s="70" t="s">
        <v>75</v>
      </c>
      <c r="V8" s="70"/>
      <c r="W8" s="71" t="s">
        <v>412</v>
      </c>
    </row>
    <row r="9" spans="2:23" ht="24.75" customHeight="1" x14ac:dyDescent="0.25">
      <c r="B9" s="304" t="s">
        <v>450</v>
      </c>
      <c r="C9" s="304"/>
      <c r="D9" s="72" t="s">
        <v>447</v>
      </c>
      <c r="E9" s="65" t="s">
        <v>451</v>
      </c>
      <c r="F9" s="64"/>
      <c r="G9" s="65">
        <v>20</v>
      </c>
      <c r="H9" s="65">
        <v>8</v>
      </c>
      <c r="I9" s="65">
        <v>24.6</v>
      </c>
      <c r="J9" s="65">
        <v>4.5999999999999996</v>
      </c>
      <c r="K9" s="64"/>
      <c r="L9" s="65">
        <v>859</v>
      </c>
      <c r="M9" s="65">
        <v>285</v>
      </c>
      <c r="N9" s="64"/>
      <c r="O9" s="65">
        <v>20</v>
      </c>
      <c r="P9" s="65">
        <v>8</v>
      </c>
      <c r="Q9" s="65">
        <v>24</v>
      </c>
      <c r="R9" s="65">
        <v>4</v>
      </c>
      <c r="S9" s="64"/>
      <c r="T9" s="65" t="s">
        <v>449</v>
      </c>
      <c r="U9" s="65" t="s">
        <v>75</v>
      </c>
      <c r="V9" s="65"/>
      <c r="W9" s="66" t="s">
        <v>452</v>
      </c>
    </row>
    <row r="10" spans="2:23" ht="24.75" customHeight="1" x14ac:dyDescent="0.25">
      <c r="B10" s="300" t="s">
        <v>453</v>
      </c>
      <c r="C10" s="300"/>
      <c r="D10" s="69" t="s">
        <v>447</v>
      </c>
      <c r="E10" s="70" t="s">
        <v>451</v>
      </c>
      <c r="F10" s="64"/>
      <c r="G10" s="71">
        <v>25</v>
      </c>
      <c r="H10" s="71">
        <v>12</v>
      </c>
      <c r="I10" s="70">
        <v>26.7</v>
      </c>
      <c r="J10" s="70">
        <v>4.9000000000000004</v>
      </c>
      <c r="K10" s="70"/>
      <c r="L10" s="70">
        <v>759</v>
      </c>
      <c r="M10" s="70">
        <v>261</v>
      </c>
      <c r="N10" s="70"/>
      <c r="O10" s="71">
        <v>25</v>
      </c>
      <c r="P10" s="70">
        <v>12</v>
      </c>
      <c r="Q10" s="70">
        <v>26.5</v>
      </c>
      <c r="R10" s="70">
        <v>5.5</v>
      </c>
      <c r="S10" s="64"/>
      <c r="T10" s="70" t="s">
        <v>449</v>
      </c>
      <c r="U10" s="70" t="s">
        <v>75</v>
      </c>
      <c r="V10" s="70"/>
      <c r="W10" s="70" t="s">
        <v>454</v>
      </c>
    </row>
    <row r="11" spans="2:23" ht="24.75" customHeight="1" x14ac:dyDescent="0.25">
      <c r="B11" s="304" t="s">
        <v>455</v>
      </c>
      <c r="C11" s="304"/>
      <c r="D11" s="72" t="s">
        <v>234</v>
      </c>
      <c r="E11" s="66" t="s">
        <v>451</v>
      </c>
      <c r="F11" s="67"/>
      <c r="G11" s="66">
        <v>25</v>
      </c>
      <c r="H11" s="66">
        <v>12</v>
      </c>
      <c r="I11" s="66">
        <v>26.7</v>
      </c>
      <c r="J11" s="66">
        <v>4.9000000000000004</v>
      </c>
      <c r="K11" s="67"/>
      <c r="L11" s="65">
        <v>1286</v>
      </c>
      <c r="M11" s="66">
        <v>198</v>
      </c>
      <c r="N11" s="73"/>
      <c r="O11" s="66">
        <v>45</v>
      </c>
      <c r="P11" s="66">
        <v>19</v>
      </c>
      <c r="Q11" s="66">
        <v>28.8</v>
      </c>
      <c r="R11" s="66">
        <v>7.5</v>
      </c>
      <c r="S11" s="67"/>
      <c r="T11" s="65" t="s">
        <v>456</v>
      </c>
      <c r="U11" s="65" t="s">
        <v>457</v>
      </c>
      <c r="V11" s="65"/>
      <c r="W11" s="66" t="s">
        <v>458</v>
      </c>
    </row>
    <row r="12" spans="2:23" ht="24.75" customHeight="1" x14ac:dyDescent="0.25">
      <c r="B12" s="300" t="s">
        <v>459</v>
      </c>
      <c r="C12" s="300"/>
      <c r="D12" s="69" t="s">
        <v>447</v>
      </c>
      <c r="E12" s="70" t="s">
        <v>451</v>
      </c>
      <c r="F12" s="64"/>
      <c r="G12" s="71">
        <v>21</v>
      </c>
      <c r="H12" s="71">
        <v>19</v>
      </c>
      <c r="I12" s="70">
        <v>19</v>
      </c>
      <c r="J12" s="70">
        <v>0.9</v>
      </c>
      <c r="K12" s="70"/>
      <c r="L12" s="70">
        <v>640</v>
      </c>
      <c r="M12" s="70">
        <v>103</v>
      </c>
      <c r="N12" s="70"/>
      <c r="O12" s="71">
        <v>21</v>
      </c>
      <c r="P12" s="71" t="s">
        <v>44</v>
      </c>
      <c r="Q12" s="71" t="s">
        <v>44</v>
      </c>
      <c r="R12" s="71" t="s">
        <v>44</v>
      </c>
      <c r="S12" s="64"/>
      <c r="T12" s="70" t="s">
        <v>75</v>
      </c>
      <c r="U12" s="70" t="s">
        <v>290</v>
      </c>
      <c r="V12" s="70"/>
      <c r="W12" s="70"/>
    </row>
    <row r="13" spans="2:23" ht="24.75" customHeight="1" x14ac:dyDescent="0.25">
      <c r="B13" s="300"/>
      <c r="C13" s="300"/>
      <c r="D13" s="69" t="s">
        <v>234</v>
      </c>
      <c r="E13" s="70" t="s">
        <v>451</v>
      </c>
      <c r="F13" s="64"/>
      <c r="G13" s="71">
        <v>56</v>
      </c>
      <c r="H13" s="71">
        <v>31</v>
      </c>
      <c r="I13" s="70">
        <v>31</v>
      </c>
      <c r="J13" s="70">
        <v>0.6</v>
      </c>
      <c r="K13" s="70"/>
      <c r="L13" s="70">
        <v>1461</v>
      </c>
      <c r="M13" s="70">
        <v>185</v>
      </c>
      <c r="N13" s="70"/>
      <c r="O13" s="71">
        <v>56</v>
      </c>
      <c r="P13" s="71" t="s">
        <v>44</v>
      </c>
      <c r="Q13" s="71" t="s">
        <v>44</v>
      </c>
      <c r="R13" s="71" t="s">
        <v>44</v>
      </c>
      <c r="S13" s="64"/>
      <c r="T13" s="70" t="s">
        <v>75</v>
      </c>
      <c r="U13" s="70" t="s">
        <v>290</v>
      </c>
      <c r="V13" s="70"/>
      <c r="W13" s="70"/>
    </row>
    <row r="14" spans="2:23" ht="24.75" customHeight="1" x14ac:dyDescent="0.25">
      <c r="B14" s="304" t="s">
        <v>460</v>
      </c>
      <c r="C14" s="304"/>
      <c r="D14" s="306" t="s">
        <v>461</v>
      </c>
      <c r="E14" s="304" t="s">
        <v>451</v>
      </c>
      <c r="F14" s="64"/>
      <c r="G14" s="65">
        <v>38</v>
      </c>
      <c r="H14" s="65">
        <v>25</v>
      </c>
      <c r="I14" s="65">
        <v>27.3</v>
      </c>
      <c r="J14" s="65">
        <v>8.1</v>
      </c>
      <c r="K14" s="67"/>
      <c r="L14" s="65">
        <v>751</v>
      </c>
      <c r="M14" s="65">
        <v>319</v>
      </c>
      <c r="N14" s="64"/>
      <c r="O14" s="65">
        <v>39</v>
      </c>
      <c r="P14" s="65">
        <v>29</v>
      </c>
      <c r="Q14" s="65">
        <v>27.8</v>
      </c>
      <c r="R14" s="65">
        <v>8.4</v>
      </c>
      <c r="S14" s="64"/>
      <c r="T14" s="304" t="s">
        <v>445</v>
      </c>
      <c r="U14" s="304" t="s">
        <v>462</v>
      </c>
      <c r="V14" s="65"/>
      <c r="W14" s="307" t="s">
        <v>463</v>
      </c>
    </row>
    <row r="15" spans="2:23" ht="24.75" customHeight="1" x14ac:dyDescent="0.25">
      <c r="B15" s="304" t="s">
        <v>464</v>
      </c>
      <c r="C15" s="304"/>
      <c r="D15" s="306"/>
      <c r="E15" s="304"/>
      <c r="F15" s="64"/>
      <c r="G15" s="65">
        <v>37</v>
      </c>
      <c r="H15" s="65">
        <v>24</v>
      </c>
      <c r="I15" s="65">
        <v>27.5</v>
      </c>
      <c r="J15" s="65">
        <v>7.3</v>
      </c>
      <c r="K15" s="67"/>
      <c r="L15" s="65">
        <v>720</v>
      </c>
      <c r="M15" s="65">
        <v>343</v>
      </c>
      <c r="N15" s="64"/>
      <c r="O15" s="65">
        <v>30</v>
      </c>
      <c r="P15" s="65">
        <v>20</v>
      </c>
      <c r="Q15" s="65">
        <v>27.6</v>
      </c>
      <c r="R15" s="65">
        <v>7.4</v>
      </c>
      <c r="S15" s="64"/>
      <c r="T15" s="304"/>
      <c r="U15" s="304"/>
      <c r="V15" s="65"/>
      <c r="W15" s="307"/>
    </row>
    <row r="16" spans="2:23" ht="24.75" customHeight="1" x14ac:dyDescent="0.25">
      <c r="B16" s="304" t="s">
        <v>465</v>
      </c>
      <c r="C16" s="304"/>
      <c r="D16" s="306"/>
      <c r="E16" s="304"/>
      <c r="F16" s="64"/>
      <c r="G16" s="65">
        <v>36</v>
      </c>
      <c r="H16" s="65">
        <v>23</v>
      </c>
      <c r="I16" s="65">
        <v>27.4</v>
      </c>
      <c r="J16" s="65">
        <v>8.3000000000000007</v>
      </c>
      <c r="K16" s="67"/>
      <c r="L16" s="65">
        <v>670</v>
      </c>
      <c r="M16" s="65">
        <v>319</v>
      </c>
      <c r="N16" s="64"/>
      <c r="O16" s="65">
        <v>40</v>
      </c>
      <c r="P16" s="65">
        <v>30</v>
      </c>
      <c r="Q16" s="65">
        <v>28</v>
      </c>
      <c r="R16" s="65">
        <v>8.5</v>
      </c>
      <c r="S16" s="64"/>
      <c r="T16" s="304"/>
      <c r="U16" s="304"/>
      <c r="V16" s="65"/>
      <c r="W16" s="307"/>
    </row>
    <row r="17" spans="2:23" ht="24.75" customHeight="1" x14ac:dyDescent="0.25">
      <c r="B17" s="300" t="s">
        <v>466</v>
      </c>
      <c r="C17" s="300"/>
      <c r="D17" s="308" t="s">
        <v>461</v>
      </c>
      <c r="E17" s="300" t="s">
        <v>467</v>
      </c>
      <c r="F17" s="64"/>
      <c r="G17" s="71">
        <v>56</v>
      </c>
      <c r="H17" s="71">
        <v>31</v>
      </c>
      <c r="I17" s="70">
        <v>28.9</v>
      </c>
      <c r="J17" s="70">
        <v>6.5</v>
      </c>
      <c r="K17" s="70"/>
      <c r="L17" s="70">
        <v>657</v>
      </c>
      <c r="M17" s="70">
        <v>336</v>
      </c>
      <c r="N17" s="70"/>
      <c r="O17" s="71">
        <v>53</v>
      </c>
      <c r="P17" s="71">
        <v>39</v>
      </c>
      <c r="Q17" s="71">
        <v>26</v>
      </c>
      <c r="R17" s="71">
        <v>5.8</v>
      </c>
      <c r="S17" s="64"/>
      <c r="T17" s="300" t="s">
        <v>445</v>
      </c>
      <c r="U17" s="300" t="s">
        <v>75</v>
      </c>
      <c r="V17" s="70"/>
      <c r="W17" s="300" t="s">
        <v>75</v>
      </c>
    </row>
    <row r="18" spans="2:23" ht="24.75" customHeight="1" x14ac:dyDescent="0.25">
      <c r="B18" s="300" t="s">
        <v>468</v>
      </c>
      <c r="C18" s="300"/>
      <c r="D18" s="308"/>
      <c r="E18" s="300"/>
      <c r="F18" s="64"/>
      <c r="G18" s="71">
        <v>57</v>
      </c>
      <c r="H18" s="71">
        <v>33</v>
      </c>
      <c r="I18" s="70">
        <v>27.7</v>
      </c>
      <c r="J18" s="70">
        <v>6</v>
      </c>
      <c r="K18" s="70"/>
      <c r="L18" s="70">
        <v>655</v>
      </c>
      <c r="M18" s="70">
        <v>342</v>
      </c>
      <c r="N18" s="70"/>
      <c r="O18" s="71">
        <v>57</v>
      </c>
      <c r="P18" s="71">
        <v>38</v>
      </c>
      <c r="Q18" s="71">
        <v>28.8</v>
      </c>
      <c r="R18" s="71">
        <v>5.9</v>
      </c>
      <c r="S18" s="64"/>
      <c r="T18" s="300"/>
      <c r="U18" s="300"/>
      <c r="V18" s="70"/>
      <c r="W18" s="300"/>
    </row>
    <row r="19" spans="2:23" ht="24.75" customHeight="1" x14ac:dyDescent="0.25">
      <c r="B19" s="304" t="s">
        <v>469</v>
      </c>
      <c r="C19" s="304"/>
      <c r="D19" s="64"/>
      <c r="E19" s="65" t="s">
        <v>470</v>
      </c>
      <c r="F19" s="64"/>
      <c r="G19" s="66">
        <v>9</v>
      </c>
      <c r="H19" s="66">
        <v>8</v>
      </c>
      <c r="I19" s="65">
        <v>26</v>
      </c>
      <c r="J19" s="65">
        <v>3.7</v>
      </c>
      <c r="K19" s="64"/>
      <c r="L19" s="65">
        <v>1000</v>
      </c>
      <c r="M19" s="65">
        <v>775</v>
      </c>
      <c r="N19" s="64"/>
      <c r="O19" s="66">
        <v>9</v>
      </c>
      <c r="P19" s="65">
        <v>8</v>
      </c>
      <c r="Q19" s="65">
        <v>25</v>
      </c>
      <c r="R19" s="65">
        <v>3.7</v>
      </c>
      <c r="S19" s="64"/>
      <c r="T19" s="65" t="s">
        <v>75</v>
      </c>
      <c r="U19" s="65" t="s">
        <v>75</v>
      </c>
      <c r="V19" s="65"/>
      <c r="W19" s="65" t="s">
        <v>75</v>
      </c>
    </row>
    <row r="20" spans="2:23" ht="24.75" customHeight="1" x14ac:dyDescent="0.25">
      <c r="B20" s="300" t="s">
        <v>471</v>
      </c>
      <c r="C20" s="300"/>
      <c r="D20" s="69"/>
      <c r="E20" s="70" t="s">
        <v>470</v>
      </c>
      <c r="F20" s="64"/>
      <c r="G20" s="71">
        <v>12</v>
      </c>
      <c r="H20" s="71">
        <v>10</v>
      </c>
      <c r="I20" s="70">
        <v>28.5</v>
      </c>
      <c r="J20" s="70">
        <v>11.4</v>
      </c>
      <c r="K20" s="70"/>
      <c r="L20" s="70" t="s">
        <v>44</v>
      </c>
      <c r="M20" s="70" t="s">
        <v>44</v>
      </c>
      <c r="N20" s="70"/>
      <c r="O20" s="71">
        <v>12</v>
      </c>
      <c r="P20" s="71" t="s">
        <v>44</v>
      </c>
      <c r="Q20" s="71">
        <v>29.2</v>
      </c>
      <c r="R20" s="71">
        <v>11</v>
      </c>
      <c r="S20" s="64"/>
      <c r="T20" s="70" t="s">
        <v>445</v>
      </c>
      <c r="U20" s="70" t="s">
        <v>472</v>
      </c>
      <c r="V20" s="70"/>
      <c r="W20" s="70" t="s">
        <v>458</v>
      </c>
    </row>
    <row r="21" spans="2:23" ht="24.75" customHeight="1" x14ac:dyDescent="0.25">
      <c r="B21" s="304" t="s">
        <v>473</v>
      </c>
      <c r="C21" s="304"/>
      <c r="D21" s="72" t="s">
        <v>474</v>
      </c>
      <c r="E21" s="65" t="s">
        <v>475</v>
      </c>
      <c r="F21" s="64"/>
      <c r="G21" s="66">
        <v>14</v>
      </c>
      <c r="H21" s="66">
        <v>12</v>
      </c>
      <c r="I21" s="65">
        <v>24.97</v>
      </c>
      <c r="J21" s="65">
        <v>1.6</v>
      </c>
      <c r="K21" s="64"/>
      <c r="L21" s="65" t="s">
        <v>44</v>
      </c>
      <c r="M21" s="65" t="s">
        <v>44</v>
      </c>
      <c r="N21" s="64"/>
      <c r="O21" s="66">
        <v>14</v>
      </c>
      <c r="P21" s="65">
        <v>12</v>
      </c>
      <c r="Q21" s="65">
        <v>23.7</v>
      </c>
      <c r="R21" s="66">
        <v>2.6</v>
      </c>
      <c r="S21" s="64"/>
      <c r="T21" s="65" t="s">
        <v>456</v>
      </c>
      <c r="U21" s="64"/>
      <c r="V21" s="64"/>
      <c r="W21" s="65" t="s">
        <v>75</v>
      </c>
    </row>
    <row r="22" spans="2:23" ht="24.75" customHeight="1" x14ac:dyDescent="0.25">
      <c r="B22" s="300" t="s">
        <v>476</v>
      </c>
      <c r="C22" s="300"/>
      <c r="D22" s="69"/>
      <c r="E22" s="70" t="s">
        <v>448</v>
      </c>
      <c r="F22" s="64"/>
      <c r="G22" s="71">
        <v>57</v>
      </c>
      <c r="H22" s="71">
        <v>33</v>
      </c>
      <c r="I22" s="70">
        <v>23.6</v>
      </c>
      <c r="J22" s="70">
        <v>3.4</v>
      </c>
      <c r="K22" s="70"/>
      <c r="L22" s="70">
        <v>1085</v>
      </c>
      <c r="M22" s="70">
        <v>303</v>
      </c>
      <c r="N22" s="70"/>
      <c r="O22" s="71">
        <v>40</v>
      </c>
      <c r="P22" s="71">
        <v>24</v>
      </c>
      <c r="Q22" s="71">
        <v>23</v>
      </c>
      <c r="R22" s="71" t="s">
        <v>44</v>
      </c>
      <c r="S22" s="64"/>
      <c r="T22" s="70" t="s">
        <v>456</v>
      </c>
      <c r="U22" s="70" t="s">
        <v>75</v>
      </c>
      <c r="V22" s="70"/>
      <c r="W22" s="70" t="s">
        <v>75</v>
      </c>
    </row>
    <row r="23" spans="2:23" ht="24.75" customHeight="1" x14ac:dyDescent="0.25">
      <c r="B23" s="304" t="s">
        <v>477</v>
      </c>
      <c r="C23" s="304"/>
      <c r="D23" s="64"/>
      <c r="E23" s="65" t="s">
        <v>478</v>
      </c>
      <c r="F23" s="64"/>
      <c r="G23" s="66">
        <v>25</v>
      </c>
      <c r="H23" s="66">
        <v>12</v>
      </c>
      <c r="I23" s="65">
        <v>22</v>
      </c>
      <c r="J23" s="65" t="s">
        <v>44</v>
      </c>
      <c r="K23" s="64"/>
      <c r="L23" s="65">
        <v>1945</v>
      </c>
      <c r="M23" s="65" t="s">
        <v>44</v>
      </c>
      <c r="N23" s="64"/>
      <c r="O23" s="66">
        <v>15</v>
      </c>
      <c r="P23" s="65">
        <v>9</v>
      </c>
      <c r="Q23" s="65">
        <v>23</v>
      </c>
      <c r="R23" s="65" t="s">
        <v>44</v>
      </c>
      <c r="S23" s="64"/>
      <c r="T23" s="65" t="s">
        <v>449</v>
      </c>
      <c r="U23" s="65" t="s">
        <v>479</v>
      </c>
      <c r="V23" s="65"/>
      <c r="W23" s="65" t="s">
        <v>480</v>
      </c>
    </row>
    <row r="24" spans="2:23" ht="24.75" customHeight="1" x14ac:dyDescent="0.25">
      <c r="B24" s="300" t="s">
        <v>481</v>
      </c>
      <c r="C24" s="300"/>
      <c r="D24" s="69" t="s">
        <v>482</v>
      </c>
      <c r="E24" s="70" t="s">
        <v>475</v>
      </c>
      <c r="F24" s="64"/>
      <c r="G24" s="71">
        <v>19</v>
      </c>
      <c r="H24" s="71">
        <v>8</v>
      </c>
      <c r="I24" s="70">
        <v>25.4</v>
      </c>
      <c r="J24" s="70">
        <v>4.0999999999999996</v>
      </c>
      <c r="K24" s="70"/>
      <c r="L24" s="70">
        <v>1042</v>
      </c>
      <c r="M24" s="70">
        <v>428</v>
      </c>
      <c r="N24" s="70"/>
      <c r="O24" s="71">
        <v>19</v>
      </c>
      <c r="P24" s="71">
        <v>8</v>
      </c>
      <c r="Q24" s="71">
        <v>24.7</v>
      </c>
      <c r="R24" s="71">
        <v>3.4</v>
      </c>
      <c r="S24" s="64"/>
      <c r="T24" s="70" t="s">
        <v>445</v>
      </c>
      <c r="U24" s="70" t="s">
        <v>75</v>
      </c>
      <c r="V24" s="70"/>
      <c r="W24" s="70"/>
    </row>
    <row r="25" spans="2:23" ht="24.75" customHeight="1" x14ac:dyDescent="0.25">
      <c r="B25" s="304" t="s">
        <v>483</v>
      </c>
      <c r="C25" s="304"/>
      <c r="D25" s="72" t="s">
        <v>484</v>
      </c>
      <c r="E25" s="65" t="s">
        <v>448</v>
      </c>
      <c r="F25" s="64"/>
      <c r="G25" s="66">
        <v>19</v>
      </c>
      <c r="H25" s="66">
        <v>11</v>
      </c>
      <c r="I25" s="65">
        <v>20.5</v>
      </c>
      <c r="J25" s="65" t="s">
        <v>44</v>
      </c>
      <c r="K25" s="64"/>
      <c r="L25" s="65">
        <v>2069</v>
      </c>
      <c r="M25" s="65">
        <v>22</v>
      </c>
      <c r="N25" s="64"/>
      <c r="O25" s="66">
        <v>20</v>
      </c>
      <c r="P25" s="66">
        <v>11</v>
      </c>
      <c r="Q25" s="66">
        <v>20.7</v>
      </c>
      <c r="R25" s="66" t="s">
        <v>44</v>
      </c>
      <c r="S25" s="64"/>
      <c r="T25" s="65" t="s">
        <v>445</v>
      </c>
      <c r="U25" s="65" t="s">
        <v>75</v>
      </c>
      <c r="V25" s="65"/>
      <c r="W25" s="65" t="s">
        <v>75</v>
      </c>
    </row>
    <row r="26" spans="2:23" ht="24.75" customHeight="1" x14ac:dyDescent="0.25">
      <c r="B26" s="300" t="s">
        <v>485</v>
      </c>
      <c r="C26" s="300"/>
      <c r="D26" s="69" t="s">
        <v>486</v>
      </c>
      <c r="E26" s="70" t="s">
        <v>487</v>
      </c>
      <c r="F26" s="64"/>
      <c r="G26" s="71">
        <v>11</v>
      </c>
      <c r="H26" s="71">
        <v>4</v>
      </c>
      <c r="I26" s="70">
        <v>22.4</v>
      </c>
      <c r="J26" s="70">
        <v>5.5</v>
      </c>
      <c r="K26" s="70"/>
      <c r="L26" s="70">
        <v>566</v>
      </c>
      <c r="M26" s="70">
        <v>217</v>
      </c>
      <c r="N26" s="70"/>
      <c r="O26" s="309">
        <v>22</v>
      </c>
      <c r="P26" s="309">
        <v>9</v>
      </c>
      <c r="Q26" s="309">
        <v>24.1</v>
      </c>
      <c r="R26" s="309">
        <v>4.5</v>
      </c>
      <c r="S26" s="64"/>
      <c r="T26" s="70" t="s">
        <v>75</v>
      </c>
      <c r="U26" s="70" t="s">
        <v>75</v>
      </c>
      <c r="V26" s="70"/>
      <c r="W26" s="70" t="s">
        <v>412</v>
      </c>
    </row>
    <row r="27" spans="2:23" ht="24.75" customHeight="1" x14ac:dyDescent="0.25">
      <c r="B27" s="300"/>
      <c r="C27" s="300"/>
      <c r="D27" s="69" t="s">
        <v>488</v>
      </c>
      <c r="E27" s="70" t="s">
        <v>487</v>
      </c>
      <c r="F27" s="64"/>
      <c r="G27" s="71">
        <v>11</v>
      </c>
      <c r="H27" s="71">
        <v>4</v>
      </c>
      <c r="I27" s="70">
        <v>25.4</v>
      </c>
      <c r="J27" s="70">
        <v>5.5</v>
      </c>
      <c r="K27" s="70"/>
      <c r="L27" s="70">
        <v>1545</v>
      </c>
      <c r="M27" s="70">
        <v>182</v>
      </c>
      <c r="N27" s="70"/>
      <c r="O27" s="309"/>
      <c r="P27" s="309"/>
      <c r="Q27" s="309"/>
      <c r="R27" s="309"/>
      <c r="S27" s="64"/>
      <c r="T27" s="70" t="s">
        <v>75</v>
      </c>
      <c r="U27" s="70" t="s">
        <v>75</v>
      </c>
      <c r="V27" s="70"/>
      <c r="W27" s="70" t="s">
        <v>412</v>
      </c>
    </row>
    <row r="28" spans="2:23" ht="24.75" customHeight="1" x14ac:dyDescent="0.25">
      <c r="B28" s="304" t="s">
        <v>489</v>
      </c>
      <c r="C28" s="304"/>
      <c r="D28" s="72" t="s">
        <v>490</v>
      </c>
      <c r="E28" s="65" t="s">
        <v>448</v>
      </c>
      <c r="F28" s="64"/>
      <c r="G28" s="66">
        <v>8</v>
      </c>
      <c r="H28" s="66">
        <v>8</v>
      </c>
      <c r="I28" s="65">
        <v>31</v>
      </c>
      <c r="J28" s="65">
        <v>5.3</v>
      </c>
      <c r="K28" s="64"/>
      <c r="L28" s="65">
        <v>1210</v>
      </c>
      <c r="M28" s="65">
        <v>320</v>
      </c>
      <c r="N28" s="64"/>
      <c r="O28" s="307">
        <v>15</v>
      </c>
      <c r="P28" s="307">
        <v>0</v>
      </c>
      <c r="Q28" s="307">
        <v>32.1</v>
      </c>
      <c r="R28" s="307">
        <v>6.4</v>
      </c>
      <c r="S28" s="64"/>
      <c r="T28" s="65" t="s">
        <v>445</v>
      </c>
      <c r="U28" s="65" t="s">
        <v>290</v>
      </c>
      <c r="V28" s="65"/>
      <c r="W28" s="65" t="s">
        <v>75</v>
      </c>
    </row>
    <row r="29" spans="2:23" ht="24.75" customHeight="1" x14ac:dyDescent="0.25">
      <c r="B29" s="304"/>
      <c r="C29" s="304"/>
      <c r="D29" s="72" t="s">
        <v>491</v>
      </c>
      <c r="E29" s="65" t="s">
        <v>448</v>
      </c>
      <c r="F29" s="64"/>
      <c r="G29" s="66">
        <v>9</v>
      </c>
      <c r="H29" s="66">
        <v>9</v>
      </c>
      <c r="I29" s="65">
        <v>31</v>
      </c>
      <c r="J29" s="65">
        <v>4.7</v>
      </c>
      <c r="K29" s="64"/>
      <c r="L29" s="65">
        <v>1140</v>
      </c>
      <c r="M29" s="65">
        <v>310</v>
      </c>
      <c r="N29" s="64"/>
      <c r="O29" s="307"/>
      <c r="P29" s="307"/>
      <c r="Q29" s="307"/>
      <c r="R29" s="307"/>
      <c r="S29" s="64"/>
      <c r="T29" s="65" t="s">
        <v>445</v>
      </c>
      <c r="U29" s="65" t="s">
        <v>290</v>
      </c>
      <c r="V29" s="65"/>
      <c r="W29" s="65" t="s">
        <v>75</v>
      </c>
    </row>
    <row r="30" spans="2:23" ht="24.75" customHeight="1" x14ac:dyDescent="0.25">
      <c r="B30" s="300" t="s">
        <v>492</v>
      </c>
      <c r="C30" s="300"/>
      <c r="D30" s="69"/>
      <c r="E30" s="70" t="s">
        <v>448</v>
      </c>
      <c r="F30" s="64"/>
      <c r="G30" s="71">
        <v>16</v>
      </c>
      <c r="H30" s="71" t="s">
        <v>75</v>
      </c>
      <c r="I30" s="70">
        <v>25.8</v>
      </c>
      <c r="J30" s="70">
        <v>4.4000000000000004</v>
      </c>
      <c r="K30" s="70"/>
      <c r="L30" s="70">
        <v>926.2</v>
      </c>
      <c r="M30" s="70">
        <v>430</v>
      </c>
      <c r="N30" s="70"/>
      <c r="O30" s="71">
        <v>17</v>
      </c>
      <c r="P30" s="71" t="s">
        <v>44</v>
      </c>
      <c r="Q30" s="71">
        <v>24.7</v>
      </c>
      <c r="R30" s="71">
        <v>3.9</v>
      </c>
      <c r="S30" s="64"/>
      <c r="T30" s="70" t="s">
        <v>456</v>
      </c>
      <c r="U30" s="70" t="s">
        <v>493</v>
      </c>
      <c r="V30" s="70"/>
      <c r="W30" s="70"/>
    </row>
    <row r="31" spans="2:23" ht="24.75" customHeight="1" x14ac:dyDescent="0.25">
      <c r="B31" s="304" t="s">
        <v>494</v>
      </c>
      <c r="C31" s="304"/>
      <c r="D31" s="64"/>
      <c r="E31" s="65" t="s">
        <v>448</v>
      </c>
      <c r="F31" s="64"/>
      <c r="G31" s="66">
        <v>8</v>
      </c>
      <c r="H31" s="66" t="s">
        <v>75</v>
      </c>
      <c r="I31" s="65">
        <v>23.3</v>
      </c>
      <c r="J31" s="65">
        <v>3.8</v>
      </c>
      <c r="K31" s="64"/>
      <c r="L31" s="65">
        <v>1253.0999999999999</v>
      </c>
      <c r="M31" s="65">
        <v>176</v>
      </c>
      <c r="N31" s="64"/>
      <c r="O31" s="66">
        <v>8</v>
      </c>
      <c r="P31" s="66" t="s">
        <v>44</v>
      </c>
      <c r="Q31" s="66">
        <v>20.100000000000001</v>
      </c>
      <c r="R31" s="66">
        <v>3.9</v>
      </c>
      <c r="S31" s="64"/>
      <c r="T31" s="65" t="s">
        <v>75</v>
      </c>
      <c r="U31" s="65" t="s">
        <v>495</v>
      </c>
      <c r="V31" s="65"/>
      <c r="W31" s="65" t="s">
        <v>412</v>
      </c>
    </row>
    <row r="32" spans="2:23" ht="24.75" customHeight="1" x14ac:dyDescent="0.25">
      <c r="B32" s="300" t="s">
        <v>496</v>
      </c>
      <c r="C32" s="300"/>
      <c r="D32" s="69" t="s">
        <v>497</v>
      </c>
      <c r="E32" s="70" t="s">
        <v>448</v>
      </c>
      <c r="F32" s="64"/>
      <c r="G32" s="71">
        <v>57</v>
      </c>
      <c r="H32" s="71">
        <v>37</v>
      </c>
      <c r="I32" s="70">
        <v>31.7</v>
      </c>
      <c r="J32" s="70">
        <v>5.9</v>
      </c>
      <c r="K32" s="70"/>
      <c r="L32" s="70">
        <v>773.7</v>
      </c>
      <c r="M32" s="70" t="s">
        <v>44</v>
      </c>
      <c r="N32" s="70"/>
      <c r="O32" s="71">
        <v>46</v>
      </c>
      <c r="P32" s="71">
        <v>24</v>
      </c>
      <c r="Q32" s="71">
        <v>34.200000000000003</v>
      </c>
      <c r="R32" s="71">
        <v>11</v>
      </c>
      <c r="S32" s="64"/>
      <c r="T32" s="70" t="s">
        <v>456</v>
      </c>
      <c r="U32" s="74"/>
      <c r="V32" s="74"/>
      <c r="W32" s="70" t="s">
        <v>480</v>
      </c>
    </row>
    <row r="33" spans="1:23" s="80" customFormat="1" ht="42" customHeight="1" x14ac:dyDescent="0.25">
      <c r="B33" s="81" t="s">
        <v>506</v>
      </c>
      <c r="C33" s="81"/>
      <c r="D33" s="82"/>
      <c r="E33" s="81" t="s">
        <v>448</v>
      </c>
      <c r="F33" s="83"/>
      <c r="G33" s="84">
        <v>19</v>
      </c>
      <c r="H33" s="84">
        <v>12</v>
      </c>
      <c r="I33" s="81">
        <v>41</v>
      </c>
      <c r="J33" s="81">
        <f>(45-30)/4</f>
        <v>3.75</v>
      </c>
      <c r="K33" s="81"/>
      <c r="L33" s="81">
        <v>889.8</v>
      </c>
      <c r="M33" s="81">
        <v>459</v>
      </c>
      <c r="N33" s="81"/>
      <c r="O33" s="84">
        <v>25</v>
      </c>
      <c r="P33" s="84">
        <v>15</v>
      </c>
      <c r="Q33" s="84">
        <v>34</v>
      </c>
      <c r="R33" s="84">
        <f>(40-30)/4</f>
        <v>2.5</v>
      </c>
      <c r="S33" s="83"/>
      <c r="T33" s="65" t="s">
        <v>449</v>
      </c>
      <c r="U33" s="85" t="s">
        <v>508</v>
      </c>
      <c r="V33" s="83"/>
      <c r="W33" s="81" t="s">
        <v>458</v>
      </c>
    </row>
    <row r="34" spans="1:23" ht="20.25" customHeight="1" x14ac:dyDescent="0.25">
      <c r="B34" s="310" t="s">
        <v>498</v>
      </c>
      <c r="C34" s="310"/>
      <c r="D34" s="67"/>
      <c r="E34" s="67"/>
      <c r="F34" s="67"/>
      <c r="G34" s="63">
        <v>24.8</v>
      </c>
      <c r="H34" s="63">
        <v>15.2</v>
      </c>
      <c r="I34" s="63">
        <v>25.8</v>
      </c>
      <c r="J34" s="63">
        <v>4.5</v>
      </c>
      <c r="K34" s="63"/>
      <c r="L34" s="63">
        <v>1068.0999999999999</v>
      </c>
      <c r="M34" s="63">
        <v>280</v>
      </c>
      <c r="N34" s="67"/>
      <c r="O34" s="63">
        <v>25.7</v>
      </c>
      <c r="P34" s="63">
        <v>14.1</v>
      </c>
      <c r="Q34" s="63">
        <v>25.6</v>
      </c>
      <c r="R34" s="63">
        <v>5.6</v>
      </c>
      <c r="S34" s="67"/>
      <c r="T34" s="67"/>
      <c r="U34" s="67"/>
      <c r="V34" s="67"/>
      <c r="W34" s="67"/>
    </row>
    <row r="35" spans="1:23" ht="20.25" customHeight="1" x14ac:dyDescent="0.25">
      <c r="D35" s="120" t="s">
        <v>550</v>
      </c>
      <c r="G35" s="103">
        <f>AVERAGE(G5:G33)</f>
        <v>30.793103448275861</v>
      </c>
      <c r="H35" s="103">
        <f t="shared" ref="H35:R35" si="0">AVERAGE(H5:H33)</f>
        <v>18.703703703703702</v>
      </c>
      <c r="I35" s="103">
        <f t="shared" si="0"/>
        <v>26.974827586206892</v>
      </c>
      <c r="J35" s="103">
        <f t="shared" si="0"/>
        <v>5.165</v>
      </c>
      <c r="K35" s="103"/>
      <c r="L35" s="103">
        <f t="shared" si="0"/>
        <v>999.19259259259263</v>
      </c>
      <c r="M35" s="103">
        <f t="shared" si="0"/>
        <v>293.61200000000002</v>
      </c>
      <c r="N35" s="103"/>
      <c r="O35" s="103">
        <f t="shared" si="0"/>
        <v>29.74074074074074</v>
      </c>
      <c r="P35" s="103">
        <f t="shared" si="0"/>
        <v>17.954545454545453</v>
      </c>
      <c r="Q35" s="103">
        <f t="shared" si="0"/>
        <v>26.692000000000004</v>
      </c>
      <c r="R35" s="103">
        <f t="shared" si="0"/>
        <v>5.9833333333333343</v>
      </c>
    </row>
    <row r="36" spans="1:23" s="77" customFormat="1" ht="20.25" customHeight="1" x14ac:dyDescent="0.25">
      <c r="A36" s="75" t="s">
        <v>499</v>
      </c>
      <c r="B36" s="76" t="s">
        <v>500</v>
      </c>
      <c r="E36" s="78"/>
    </row>
    <row r="37" spans="1:23" s="77" customFormat="1" ht="20.25" customHeight="1" x14ac:dyDescent="0.25">
      <c r="A37" s="75" t="s">
        <v>501</v>
      </c>
      <c r="B37" s="52" t="s">
        <v>502</v>
      </c>
      <c r="C37" s="52" t="s">
        <v>503</v>
      </c>
      <c r="F37" s="78"/>
    </row>
    <row r="38" spans="1:23" s="77" customFormat="1" ht="20.25" customHeight="1" x14ac:dyDescent="0.25">
      <c r="A38" s="75" t="s">
        <v>504</v>
      </c>
      <c r="B38" s="79" t="s">
        <v>505</v>
      </c>
    </row>
    <row r="39" spans="1:23" s="77" customFormat="1" ht="20.25" customHeight="1" x14ac:dyDescent="0.25">
      <c r="A39" s="75">
        <f>(14.76+10.8)/2</f>
        <v>12.780000000000001</v>
      </c>
      <c r="B39" s="47"/>
    </row>
    <row r="40" spans="1:23" ht="20.25" customHeight="1" x14ac:dyDescent="0.25">
      <c r="B40" t="s">
        <v>602</v>
      </c>
    </row>
  </sheetData>
  <mergeCells count="53">
    <mergeCell ref="B31:C31"/>
    <mergeCell ref="B32:C32"/>
    <mergeCell ref="B34:C34"/>
    <mergeCell ref="B28:C29"/>
    <mergeCell ref="O28:O29"/>
    <mergeCell ref="P28:P29"/>
    <mergeCell ref="Q28:Q29"/>
    <mergeCell ref="R28:R29"/>
    <mergeCell ref="B30:C30"/>
    <mergeCell ref="B25:C25"/>
    <mergeCell ref="B26:C27"/>
    <mergeCell ref="O26:O27"/>
    <mergeCell ref="P26:P27"/>
    <mergeCell ref="Q26:Q27"/>
    <mergeCell ref="R26:R27"/>
    <mergeCell ref="B24:C24"/>
    <mergeCell ref="B17:C17"/>
    <mergeCell ref="D17:D18"/>
    <mergeCell ref="E17:E18"/>
    <mergeCell ref="T17:T18"/>
    <mergeCell ref="B19:C19"/>
    <mergeCell ref="B20:C20"/>
    <mergeCell ref="B21:C21"/>
    <mergeCell ref="B22:C22"/>
    <mergeCell ref="B23:C23"/>
    <mergeCell ref="U17:U18"/>
    <mergeCell ref="W17:W18"/>
    <mergeCell ref="B18:C18"/>
    <mergeCell ref="B14:C14"/>
    <mergeCell ref="D14:D16"/>
    <mergeCell ref="E14:E16"/>
    <mergeCell ref="T14:T16"/>
    <mergeCell ref="U14:U16"/>
    <mergeCell ref="W14:W16"/>
    <mergeCell ref="B15:C15"/>
    <mergeCell ref="B16:C16"/>
    <mergeCell ref="B12:C13"/>
    <mergeCell ref="C3:D3"/>
    <mergeCell ref="I3:J3"/>
    <mergeCell ref="L3:M3"/>
    <mergeCell ref="Q3:R3"/>
    <mergeCell ref="B7:C7"/>
    <mergeCell ref="B8:C8"/>
    <mergeCell ref="B9:C9"/>
    <mergeCell ref="B10:C10"/>
    <mergeCell ref="B11:C11"/>
    <mergeCell ref="B6:C6"/>
    <mergeCell ref="G2:M2"/>
    <mergeCell ref="O2:R2"/>
    <mergeCell ref="B5:C5"/>
    <mergeCell ref="T3:U4"/>
    <mergeCell ref="W3:W4"/>
    <mergeCell ref="C4:D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2D9AA-ABBC-41F4-8EB7-3C21EF27C882}">
  <dimension ref="A1:C23"/>
  <sheetViews>
    <sheetView topLeftCell="A26" workbookViewId="0">
      <selection activeCell="C23" sqref="C23"/>
    </sheetView>
  </sheetViews>
  <sheetFormatPr defaultColWidth="8.85546875" defaultRowHeight="15" x14ac:dyDescent="0.25"/>
  <sheetData>
    <row r="1" spans="1:3" x14ac:dyDescent="0.25">
      <c r="A1" t="s">
        <v>507</v>
      </c>
    </row>
    <row r="2" spans="1:3" x14ac:dyDescent="0.25">
      <c r="C2">
        <v>2100</v>
      </c>
    </row>
    <row r="3" spans="1:3" x14ac:dyDescent="0.25">
      <c r="C3">
        <v>1312</v>
      </c>
    </row>
    <row r="4" spans="1:3" x14ac:dyDescent="0.25">
      <c r="C4">
        <v>1284</v>
      </c>
    </row>
    <row r="5" spans="1:3" x14ac:dyDescent="0.25">
      <c r="C5">
        <v>1150</v>
      </c>
    </row>
    <row r="6" spans="1:3" x14ac:dyDescent="0.25">
      <c r="C6">
        <v>1115</v>
      </c>
    </row>
    <row r="7" spans="1:3" x14ac:dyDescent="0.25">
      <c r="C7">
        <v>1092</v>
      </c>
    </row>
    <row r="8" spans="1:3" x14ac:dyDescent="0.25">
      <c r="C8">
        <v>1051</v>
      </c>
    </row>
    <row r="9" spans="1:3" x14ac:dyDescent="0.25">
      <c r="C9">
        <v>1043</v>
      </c>
    </row>
    <row r="10" spans="1:3" x14ac:dyDescent="0.25">
      <c r="C10">
        <v>978</v>
      </c>
    </row>
    <row r="11" spans="1:3" x14ac:dyDescent="0.25">
      <c r="C11">
        <v>873</v>
      </c>
    </row>
    <row r="12" spans="1:3" x14ac:dyDescent="0.25">
      <c r="C12">
        <v>861</v>
      </c>
    </row>
    <row r="13" spans="1:3" x14ac:dyDescent="0.25">
      <c r="C13">
        <v>812</v>
      </c>
    </row>
    <row r="14" spans="1:3" x14ac:dyDescent="0.25">
      <c r="C14">
        <v>770</v>
      </c>
    </row>
    <row r="15" spans="1:3" x14ac:dyDescent="0.25">
      <c r="C15">
        <v>760</v>
      </c>
    </row>
    <row r="16" spans="1:3" x14ac:dyDescent="0.25">
      <c r="C16">
        <v>595</v>
      </c>
    </row>
    <row r="17" spans="3:3" x14ac:dyDescent="0.25">
      <c r="C17">
        <v>576</v>
      </c>
    </row>
    <row r="18" spans="3:3" x14ac:dyDescent="0.25">
      <c r="C18">
        <v>340</v>
      </c>
    </row>
    <row r="19" spans="3:3" x14ac:dyDescent="0.25">
      <c r="C19">
        <v>138</v>
      </c>
    </row>
    <row r="20" spans="3:3" x14ac:dyDescent="0.25">
      <c r="C20">
        <v>57</v>
      </c>
    </row>
    <row r="22" spans="3:3" x14ac:dyDescent="0.25">
      <c r="C22">
        <f>AVERAGE(C2:C20)</f>
        <v>889.84210526315792</v>
      </c>
    </row>
    <row r="23" spans="3:3" x14ac:dyDescent="0.25">
      <c r="C23">
        <f>STDEV(C2:C20)</f>
        <v>459.44111739250894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NOTE</vt:lpstr>
      <vt:lpstr>ES final selection</vt:lpstr>
      <vt:lpstr>Acc_RT sorted</vt:lpstr>
      <vt:lpstr>EF-lang no-time task</vt:lpstr>
      <vt:lpstr>Verbal_visual_sorted</vt:lpstr>
      <vt:lpstr>graphs</vt:lpstr>
      <vt:lpstr>ES all papers</vt:lpstr>
      <vt:lpstr>table of studies</vt:lpstr>
      <vt:lpstr>Pilotto et al.</vt:lpstr>
      <vt:lpstr>Lou et al., 1987</vt:lpstr>
      <vt:lpstr>Leuzzi, 2014</vt:lpstr>
      <vt:lpstr>perc to stan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Romani</dc:creator>
  <cp:lastModifiedBy>Cristina Romani</cp:lastModifiedBy>
  <cp:lastPrinted>2022-07-01T13:42:10Z</cp:lastPrinted>
  <dcterms:created xsi:type="dcterms:W3CDTF">2021-06-23T10:38:44Z</dcterms:created>
  <dcterms:modified xsi:type="dcterms:W3CDTF">2022-07-01T14:13:46Z</dcterms:modified>
</cp:coreProperties>
</file>