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iska/gits/code.vegaprotocol.io/product/qa-scenarios/"/>
    </mc:Choice>
  </mc:AlternateContent>
  <xr:revisionPtr revIDLastSave="0" documentId="13_ncr:1_{C53CA58A-B861-C047-8E87-CC4AD62627F9}" xr6:coauthVersionLast="46" xr6:coauthVersionMax="46" xr10:uidLastSave="{00000000-0000-0000-0000-000000000000}"/>
  <bookViews>
    <workbookView xWindow="0" yWindow="500" windowWidth="25600" windowHeight="15500" activeTab="1" xr2:uid="{2A80095B-6965-4E4E-A3A4-8340E9E3ADBC}"/>
  </bookViews>
  <sheets>
    <sheet name="RiskFactors" sheetId="2" r:id="rId1"/>
    <sheet name="Step 1" sheetId="3" r:id="rId2"/>
    <sheet name="Step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4" l="1"/>
  <c r="L75" i="4"/>
  <c r="L71" i="4"/>
  <c r="L77" i="4"/>
  <c r="F123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F120" i="4"/>
  <c r="F119" i="4" s="1"/>
  <c r="F118" i="4" s="1"/>
  <c r="F117" i="4" s="1"/>
  <c r="F116" i="4" s="1"/>
  <c r="F115" i="4" s="1"/>
  <c r="F114" i="4" s="1"/>
  <c r="F113" i="4" s="1"/>
  <c r="F112" i="4" s="1"/>
  <c r="F111" i="4" s="1"/>
  <c r="F110" i="4" s="1"/>
  <c r="F109" i="4" s="1"/>
  <c r="F108" i="4" s="1"/>
  <c r="F107" i="4" s="1"/>
  <c r="F106" i="4" s="1"/>
  <c r="F105" i="4" s="1"/>
  <c r="F104" i="4" s="1"/>
  <c r="F103" i="4" s="1"/>
  <c r="F102" i="4" s="1"/>
  <c r="F101" i="4" s="1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6" i="4"/>
  <c r="G75" i="4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L74" i="4"/>
  <c r="G74" i="4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L72" i="4"/>
  <c r="F72" i="4"/>
  <c r="F71" i="4" s="1"/>
  <c r="F70" i="4" s="1"/>
  <c r="F69" i="4" s="1"/>
  <c r="F68" i="4" s="1"/>
  <c r="F67" i="4" s="1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D36" i="4"/>
  <c r="D33" i="4"/>
  <c r="D32" i="4"/>
  <c r="G26" i="4"/>
  <c r="F26" i="4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H25" i="4"/>
  <c r="G25" i="4"/>
  <c r="D25" i="4"/>
  <c r="G24" i="4"/>
  <c r="G23" i="4" s="1"/>
  <c r="G22" i="4" s="1"/>
  <c r="D24" i="4"/>
  <c r="F23" i="4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D23" i="4"/>
  <c r="D22" i="4"/>
  <c r="D21" i="4"/>
  <c r="C21" i="4"/>
  <c r="D13" i="4"/>
  <c r="C10" i="4"/>
  <c r="V4" i="4"/>
  <c r="U4" i="4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22" i="3"/>
  <c r="G121" i="3" s="1"/>
  <c r="G120" i="3" s="1"/>
  <c r="G119" i="3" s="1"/>
  <c r="G118" i="3" s="1"/>
  <c r="G117" i="3" s="1"/>
  <c r="G116" i="3" s="1"/>
  <c r="G115" i="3" s="1"/>
  <c r="G114" i="3" s="1"/>
  <c r="G113" i="3" s="1"/>
  <c r="G112" i="3" s="1"/>
  <c r="G111" i="3" s="1"/>
  <c r="G110" i="3" s="1"/>
  <c r="G109" i="3" s="1"/>
  <c r="G108" i="3" s="1"/>
  <c r="G107" i="3" s="1"/>
  <c r="G106" i="3" s="1"/>
  <c r="G105" i="3" s="1"/>
  <c r="G104" i="3" s="1"/>
  <c r="G103" i="3" s="1"/>
  <c r="G102" i="3" s="1"/>
  <c r="G101" i="3" s="1"/>
  <c r="F120" i="3"/>
  <c r="F119" i="3" s="1"/>
  <c r="F118" i="3" s="1"/>
  <c r="F117" i="3" s="1"/>
  <c r="F116" i="3" s="1"/>
  <c r="F115" i="3" s="1"/>
  <c r="F114" i="3" s="1"/>
  <c r="F113" i="3" s="1"/>
  <c r="F112" i="3" s="1"/>
  <c r="F111" i="3" s="1"/>
  <c r="F110" i="3" s="1"/>
  <c r="F109" i="3" s="1"/>
  <c r="F108" i="3" s="1"/>
  <c r="F107" i="3" s="1"/>
  <c r="F106" i="3" s="1"/>
  <c r="F105" i="3" s="1"/>
  <c r="F104" i="3" s="1"/>
  <c r="F103" i="3" s="1"/>
  <c r="F102" i="3" s="1"/>
  <c r="F101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74" i="3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F72" i="3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C10" i="3"/>
  <c r="C5" i="2" s="1"/>
  <c r="E5" i="2" s="1"/>
  <c r="D13" i="3"/>
  <c r="C21" i="3"/>
  <c r="D21" i="3"/>
  <c r="D22" i="3"/>
  <c r="F23" i="3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D23" i="3"/>
  <c r="D24" i="3"/>
  <c r="G25" i="3"/>
  <c r="H25" i="3"/>
  <c r="D25" i="3"/>
  <c r="F26" i="3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D32" i="3"/>
  <c r="D33" i="3"/>
  <c r="D36" i="3"/>
  <c r="C6" i="2"/>
  <c r="C11" i="2"/>
  <c r="C12" i="2"/>
  <c r="X25" i="4" l="1"/>
  <c r="Y26" i="4"/>
  <c r="Y25" i="4"/>
  <c r="Z25" i="4" s="1"/>
  <c r="X24" i="4"/>
  <c r="H24" i="4" s="1"/>
  <c r="X23" i="4"/>
  <c r="H23" i="4" s="1"/>
  <c r="X22" i="4"/>
  <c r="H22" i="4" s="1"/>
  <c r="X26" i="4"/>
  <c r="H26" i="4" s="1"/>
  <c r="Y24" i="4"/>
  <c r="Z24" i="4" s="1"/>
  <c r="G27" i="4"/>
  <c r="Y27" i="4"/>
  <c r="Y23" i="4"/>
  <c r="Z23" i="4" s="1"/>
  <c r="G21" i="4"/>
  <c r="G121" i="4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23" i="3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75" i="3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C10" i="2"/>
  <c r="C9" i="2"/>
  <c r="Y26" i="3"/>
  <c r="G24" i="3"/>
  <c r="X25" i="3"/>
  <c r="G26" i="3"/>
  <c r="U26" i="4" l="1"/>
  <c r="U24" i="4"/>
  <c r="Y22" i="4"/>
  <c r="Z22" i="4" s="1"/>
  <c r="G20" i="4"/>
  <c r="X21" i="4"/>
  <c r="H21" i="4" s="1"/>
  <c r="U22" i="4"/>
  <c r="X27" i="4"/>
  <c r="H27" i="4" s="1"/>
  <c r="Y28" i="4"/>
  <c r="G28" i="4"/>
  <c r="Z26" i="4"/>
  <c r="U23" i="4"/>
  <c r="C17" i="2"/>
  <c r="C24" i="2" s="1"/>
  <c r="C18" i="2"/>
  <c r="C25" i="2" s="1"/>
  <c r="X26" i="3"/>
  <c r="H26" i="3" s="1"/>
  <c r="G27" i="3"/>
  <c r="Y27" i="3"/>
  <c r="X24" i="3"/>
  <c r="H24" i="3" s="1"/>
  <c r="Y25" i="3"/>
  <c r="Z25" i="3" s="1"/>
  <c r="G23" i="3"/>
  <c r="C29" i="2" l="1"/>
  <c r="M55" i="3"/>
  <c r="M71" i="3"/>
  <c r="M60" i="3"/>
  <c r="M57" i="3"/>
  <c r="M73" i="3"/>
  <c r="M58" i="3"/>
  <c r="M55" i="4"/>
  <c r="M58" i="4"/>
  <c r="M62" i="4"/>
  <c r="M66" i="4"/>
  <c r="M70" i="4"/>
  <c r="M59" i="3"/>
  <c r="M64" i="3"/>
  <c r="M61" i="3"/>
  <c r="M62" i="3"/>
  <c r="M54" i="4"/>
  <c r="M59" i="4"/>
  <c r="M63" i="4"/>
  <c r="M67" i="4"/>
  <c r="M71" i="4"/>
  <c r="M63" i="3"/>
  <c r="M68" i="3"/>
  <c r="M65" i="3"/>
  <c r="M66" i="3"/>
  <c r="M60" i="4"/>
  <c r="M64" i="4"/>
  <c r="M68" i="4"/>
  <c r="M72" i="4"/>
  <c r="M67" i="3"/>
  <c r="M56" i="3"/>
  <c r="M72" i="3"/>
  <c r="M69" i="3"/>
  <c r="M54" i="3"/>
  <c r="M70" i="3"/>
  <c r="M73" i="4"/>
  <c r="M56" i="4"/>
  <c r="M57" i="4"/>
  <c r="M61" i="4"/>
  <c r="M65" i="4"/>
  <c r="M69" i="4"/>
  <c r="C30" i="2"/>
  <c r="M93" i="3"/>
  <c r="M78" i="3"/>
  <c r="M76" i="3"/>
  <c r="M79" i="3"/>
  <c r="M77" i="4"/>
  <c r="M85" i="4"/>
  <c r="M84" i="4"/>
  <c r="M92" i="3"/>
  <c r="M82" i="3"/>
  <c r="M84" i="3"/>
  <c r="M80" i="3"/>
  <c r="M81" i="3"/>
  <c r="M83" i="3"/>
  <c r="M76" i="4"/>
  <c r="M89" i="4"/>
  <c r="M80" i="4"/>
  <c r="M86" i="4"/>
  <c r="M91" i="4"/>
  <c r="M85" i="3"/>
  <c r="M88" i="3"/>
  <c r="M89" i="3"/>
  <c r="M90" i="3"/>
  <c r="M86" i="3"/>
  <c r="M87" i="3"/>
  <c r="M75" i="4"/>
  <c r="M93" i="4"/>
  <c r="M87" i="4"/>
  <c r="M77" i="3"/>
  <c r="M94" i="3"/>
  <c r="M75" i="3"/>
  <c r="M91" i="3"/>
  <c r="M81" i="4"/>
  <c r="M78" i="4"/>
  <c r="M83" i="4"/>
  <c r="M88" i="4"/>
  <c r="M94" i="4"/>
  <c r="M79" i="4"/>
  <c r="M90" i="4"/>
  <c r="M82" i="4"/>
  <c r="M92" i="4"/>
  <c r="Y21" i="4"/>
  <c r="Z21" i="4" s="1"/>
  <c r="G19" i="4"/>
  <c r="X20" i="4"/>
  <c r="H20" i="4" s="1"/>
  <c r="U27" i="4"/>
  <c r="Z27" i="4"/>
  <c r="X28" i="4"/>
  <c r="H28" i="4" s="1"/>
  <c r="Y29" i="4"/>
  <c r="G29" i="4"/>
  <c r="U21" i="4"/>
  <c r="C26" i="2"/>
  <c r="Z26" i="3"/>
  <c r="G22" i="3"/>
  <c r="X23" i="3"/>
  <c r="H23" i="3" s="1"/>
  <c r="Y24" i="3"/>
  <c r="Z24" i="3" s="1"/>
  <c r="U24" i="3"/>
  <c r="X27" i="3"/>
  <c r="H27" i="3" s="1"/>
  <c r="Y28" i="3"/>
  <c r="G28" i="3"/>
  <c r="U26" i="3"/>
  <c r="U20" i="4" l="1"/>
  <c r="Y30" i="4"/>
  <c r="G30" i="4"/>
  <c r="X29" i="4"/>
  <c r="H29" i="4" s="1"/>
  <c r="G18" i="4"/>
  <c r="X19" i="4"/>
  <c r="H19" i="4" s="1"/>
  <c r="Y20" i="4"/>
  <c r="Z20" i="4" s="1"/>
  <c r="Z29" i="4"/>
  <c r="U28" i="4"/>
  <c r="Z28" i="4"/>
  <c r="U27" i="3"/>
  <c r="Z27" i="3"/>
  <c r="U23" i="3"/>
  <c r="X28" i="3"/>
  <c r="H28" i="3" s="1"/>
  <c r="G29" i="3"/>
  <c r="Y29" i="3"/>
  <c r="G21" i="3"/>
  <c r="X22" i="3"/>
  <c r="H22" i="3" s="1"/>
  <c r="Y23" i="3"/>
  <c r="Z23" i="3" s="1"/>
  <c r="U19" i="4" l="1"/>
  <c r="U29" i="4"/>
  <c r="Y19" i="4"/>
  <c r="Z19" i="4" s="1"/>
  <c r="X18" i="4"/>
  <c r="H18" i="4" s="1"/>
  <c r="G17" i="4"/>
  <c r="Y31" i="4"/>
  <c r="G31" i="4"/>
  <c r="X30" i="4"/>
  <c r="H30" i="4" s="1"/>
  <c r="X21" i="3"/>
  <c r="H21" i="3" s="1"/>
  <c r="G20" i="3"/>
  <c r="Y22" i="3"/>
  <c r="Z22" i="3" s="1"/>
  <c r="U22" i="3"/>
  <c r="X29" i="3"/>
  <c r="H29" i="3" s="1"/>
  <c r="Y30" i="3"/>
  <c r="G30" i="3"/>
  <c r="U28" i="3"/>
  <c r="Z28" i="3"/>
  <c r="U30" i="4" l="1"/>
  <c r="Y32" i="4"/>
  <c r="G32" i="4"/>
  <c r="X31" i="4"/>
  <c r="H31" i="4" s="1"/>
  <c r="Y18" i="4"/>
  <c r="Z18" i="4" s="1"/>
  <c r="X17" i="4"/>
  <c r="H17" i="4" s="1"/>
  <c r="G16" i="4"/>
  <c r="U18" i="4"/>
  <c r="Z30" i="4"/>
  <c r="U29" i="3"/>
  <c r="X20" i="3"/>
  <c r="H20" i="3" s="1"/>
  <c r="Y21" i="3"/>
  <c r="Z21" i="3" s="1"/>
  <c r="G19" i="3"/>
  <c r="X30" i="3"/>
  <c r="H30" i="3" s="1"/>
  <c r="G31" i="3"/>
  <c r="Y31" i="3"/>
  <c r="U21" i="3"/>
  <c r="Z29" i="3"/>
  <c r="Z31" i="4" l="1"/>
  <c r="Z32" i="4"/>
  <c r="U17" i="4"/>
  <c r="G15" i="4"/>
  <c r="Y17" i="4"/>
  <c r="Z17" i="4" s="1"/>
  <c r="X16" i="4"/>
  <c r="H16" i="4" s="1"/>
  <c r="U31" i="4"/>
  <c r="X32" i="4"/>
  <c r="H32" i="4" s="1"/>
  <c r="Y33" i="4"/>
  <c r="G33" i="4"/>
  <c r="Z30" i="3"/>
  <c r="X31" i="3"/>
  <c r="H31" i="3" s="1"/>
  <c r="Y32" i="3"/>
  <c r="G32" i="3"/>
  <c r="U20" i="3"/>
  <c r="U30" i="3"/>
  <c r="G18" i="3"/>
  <c r="X19" i="3"/>
  <c r="H19" i="3" s="1"/>
  <c r="Y20" i="3"/>
  <c r="Z20" i="3" s="1"/>
  <c r="Y16" i="4" l="1"/>
  <c r="Z16" i="4" s="1"/>
  <c r="G14" i="4"/>
  <c r="X15" i="4"/>
  <c r="H15" i="4" s="1"/>
  <c r="Y34" i="4"/>
  <c r="G34" i="4"/>
  <c r="X33" i="4"/>
  <c r="H33" i="4" s="1"/>
  <c r="U32" i="4"/>
  <c r="U16" i="4"/>
  <c r="Z31" i="3"/>
  <c r="U19" i="3"/>
  <c r="G17" i="3"/>
  <c r="Y19" i="3"/>
  <c r="Z19" i="3" s="1"/>
  <c r="X18" i="3"/>
  <c r="H18" i="3" s="1"/>
  <c r="G33" i="3"/>
  <c r="Y33" i="3"/>
  <c r="X32" i="3"/>
  <c r="H32" i="3" s="1"/>
  <c r="U31" i="3"/>
  <c r="Z33" i="4" l="1"/>
  <c r="U15" i="4"/>
  <c r="Y35" i="4"/>
  <c r="G35" i="4"/>
  <c r="X34" i="4"/>
  <c r="H34" i="4" s="1"/>
  <c r="U33" i="4"/>
  <c r="Y15" i="4"/>
  <c r="Z15" i="4" s="1"/>
  <c r="X14" i="4"/>
  <c r="H14" i="4" s="1"/>
  <c r="G13" i="4"/>
  <c r="Y34" i="3"/>
  <c r="X33" i="3"/>
  <c r="H33" i="3" s="1"/>
  <c r="G34" i="3"/>
  <c r="G16" i="3"/>
  <c r="Y18" i="3"/>
  <c r="Z18" i="3" s="1"/>
  <c r="X17" i="3"/>
  <c r="H17" i="3" s="1"/>
  <c r="Z32" i="3"/>
  <c r="U18" i="3"/>
  <c r="U32" i="3"/>
  <c r="U14" i="4" l="1"/>
  <c r="U34" i="4"/>
  <c r="Y36" i="4"/>
  <c r="G36" i="4"/>
  <c r="X35" i="4"/>
  <c r="H35" i="4" s="1"/>
  <c r="Y14" i="4"/>
  <c r="Z14" i="4" s="1"/>
  <c r="G12" i="4"/>
  <c r="X13" i="4"/>
  <c r="H13" i="4" s="1"/>
  <c r="Z34" i="4"/>
  <c r="Z33" i="3"/>
  <c r="U17" i="3"/>
  <c r="X34" i="3"/>
  <c r="H34" i="3" s="1"/>
  <c r="G35" i="3"/>
  <c r="Y35" i="3"/>
  <c r="U33" i="3"/>
  <c r="G15" i="3"/>
  <c r="X16" i="3"/>
  <c r="H16" i="3" s="1"/>
  <c r="Y17" i="3"/>
  <c r="Z17" i="3" s="1"/>
  <c r="Z35" i="4" l="1"/>
  <c r="U13" i="4"/>
  <c r="Y37" i="4"/>
  <c r="G37" i="4"/>
  <c r="X36" i="4"/>
  <c r="H36" i="4" s="1"/>
  <c r="X12" i="4"/>
  <c r="H12" i="4" s="1"/>
  <c r="Y13" i="4"/>
  <c r="Z13" i="4" s="1"/>
  <c r="G11" i="4"/>
  <c r="Z36" i="4"/>
  <c r="U35" i="4"/>
  <c r="Z34" i="3"/>
  <c r="U16" i="3"/>
  <c r="X15" i="3"/>
  <c r="H15" i="3" s="1"/>
  <c r="Y16" i="3"/>
  <c r="Z16" i="3" s="1"/>
  <c r="G14" i="3"/>
  <c r="X35" i="3"/>
  <c r="H35" i="3" s="1"/>
  <c r="Y36" i="3"/>
  <c r="G36" i="3"/>
  <c r="U34" i="3"/>
  <c r="U12" i="4" l="1"/>
  <c r="U36" i="4"/>
  <c r="Y12" i="4"/>
  <c r="Z12" i="4" s="1"/>
  <c r="X11" i="4"/>
  <c r="H11" i="4" s="1"/>
  <c r="G10" i="4"/>
  <c r="Y38" i="4"/>
  <c r="G38" i="4"/>
  <c r="X37" i="4"/>
  <c r="H37" i="4" s="1"/>
  <c r="U15" i="3"/>
  <c r="U35" i="3"/>
  <c r="Z35" i="3"/>
  <c r="X36" i="3"/>
  <c r="H36" i="3" s="1"/>
  <c r="Y37" i="3"/>
  <c r="G37" i="3"/>
  <c r="X14" i="3"/>
  <c r="H14" i="3" s="1"/>
  <c r="Y15" i="3"/>
  <c r="Z15" i="3" s="1"/>
  <c r="G13" i="3"/>
  <c r="U11" i="4" l="1"/>
  <c r="Z37" i="4"/>
  <c r="Y39" i="4"/>
  <c r="G39" i="4"/>
  <c r="X38" i="4"/>
  <c r="H38" i="4" s="1"/>
  <c r="U37" i="4"/>
  <c r="Y11" i="4"/>
  <c r="Z11" i="4" s="1"/>
  <c r="X10" i="4"/>
  <c r="H10" i="4" s="1"/>
  <c r="G9" i="4"/>
  <c r="U36" i="3"/>
  <c r="Z36" i="3"/>
  <c r="U14" i="3"/>
  <c r="X37" i="3"/>
  <c r="H37" i="3" s="1"/>
  <c r="Y38" i="3"/>
  <c r="G38" i="3"/>
  <c r="X13" i="3"/>
  <c r="H13" i="3" s="1"/>
  <c r="G12" i="3"/>
  <c r="Y14" i="3"/>
  <c r="Z14" i="3" s="1"/>
  <c r="G8" i="4" l="1"/>
  <c r="X9" i="4"/>
  <c r="H9" i="4" s="1"/>
  <c r="Y10" i="4"/>
  <c r="Z10" i="4" s="1"/>
  <c r="Z38" i="4"/>
  <c r="U38" i="4"/>
  <c r="Y40" i="4"/>
  <c r="G40" i="4"/>
  <c r="X39" i="4"/>
  <c r="H39" i="4" s="1"/>
  <c r="U10" i="4"/>
  <c r="U37" i="3"/>
  <c r="U13" i="3"/>
  <c r="G11" i="3"/>
  <c r="X12" i="3"/>
  <c r="H12" i="3" s="1"/>
  <c r="Y13" i="3"/>
  <c r="Z13" i="3" s="1"/>
  <c r="Z37" i="3"/>
  <c r="X38" i="3"/>
  <c r="H38" i="3" s="1"/>
  <c r="G39" i="3"/>
  <c r="Y39" i="3"/>
  <c r="Z39" i="4" l="1"/>
  <c r="U9" i="4"/>
  <c r="U39" i="4"/>
  <c r="Y41" i="4"/>
  <c r="G41" i="4"/>
  <c r="X40" i="4"/>
  <c r="H40" i="4" s="1"/>
  <c r="Y9" i="4"/>
  <c r="Z9" i="4" s="1"/>
  <c r="X8" i="4"/>
  <c r="H8" i="4" s="1"/>
  <c r="G7" i="4"/>
  <c r="Z38" i="3"/>
  <c r="G40" i="3"/>
  <c r="X39" i="3"/>
  <c r="H39" i="3" s="1"/>
  <c r="Y40" i="3"/>
  <c r="U12" i="3"/>
  <c r="U38" i="3"/>
  <c r="G10" i="3"/>
  <c r="Y12" i="3"/>
  <c r="Z12" i="3" s="1"/>
  <c r="X11" i="3"/>
  <c r="H11" i="3" s="1"/>
  <c r="U8" i="4" l="1"/>
  <c r="U40" i="4"/>
  <c r="Y8" i="4"/>
  <c r="Z8" i="4" s="1"/>
  <c r="X7" i="4"/>
  <c r="H7" i="4" s="1"/>
  <c r="G6" i="4"/>
  <c r="Y42" i="4"/>
  <c r="G42" i="4"/>
  <c r="X41" i="4"/>
  <c r="H41" i="4" s="1"/>
  <c r="Z40" i="4"/>
  <c r="U11" i="3"/>
  <c r="U39" i="3"/>
  <c r="Y11" i="3"/>
  <c r="Z11" i="3" s="1"/>
  <c r="G9" i="3"/>
  <c r="X10" i="3"/>
  <c r="H10" i="3" s="1"/>
  <c r="Z39" i="3"/>
  <c r="X40" i="3"/>
  <c r="H40" i="3" s="1"/>
  <c r="G41" i="3"/>
  <c r="Y41" i="3"/>
  <c r="Z41" i="4" l="1"/>
  <c r="Y43" i="4"/>
  <c r="G43" i="4"/>
  <c r="X42" i="4"/>
  <c r="H42" i="4" s="1"/>
  <c r="Z42" i="4"/>
  <c r="Y7" i="4"/>
  <c r="Z7" i="4" s="1"/>
  <c r="X6" i="4"/>
  <c r="H6" i="4" s="1"/>
  <c r="G5" i="4"/>
  <c r="U41" i="4"/>
  <c r="U7" i="4"/>
  <c r="U40" i="3"/>
  <c r="Z40" i="3"/>
  <c r="U10" i="3"/>
  <c r="X41" i="3"/>
  <c r="H41" i="3" s="1"/>
  <c r="G42" i="3"/>
  <c r="Y42" i="3"/>
  <c r="X9" i="3"/>
  <c r="H9" i="3" s="1"/>
  <c r="Y10" i="3"/>
  <c r="Z10" i="3" s="1"/>
  <c r="G8" i="3"/>
  <c r="Y6" i="4" l="1"/>
  <c r="Z6" i="4" s="1"/>
  <c r="G4" i="4"/>
  <c r="X5" i="4"/>
  <c r="H5" i="4" s="1"/>
  <c r="U42" i="4"/>
  <c r="U6" i="4"/>
  <c r="Y44" i="4"/>
  <c r="G44" i="4"/>
  <c r="X43" i="4"/>
  <c r="H43" i="4" s="1"/>
  <c r="U9" i="3"/>
  <c r="X8" i="3"/>
  <c r="H8" i="3" s="1"/>
  <c r="Y9" i="3"/>
  <c r="Z9" i="3" s="1"/>
  <c r="G7" i="3"/>
  <c r="X42" i="3"/>
  <c r="H42" i="3" s="1"/>
  <c r="G43" i="3"/>
  <c r="Y43" i="3"/>
  <c r="U41" i="3"/>
  <c r="Z41" i="3"/>
  <c r="U43" i="4" l="1"/>
  <c r="U5" i="4"/>
  <c r="C26" i="4" s="1"/>
  <c r="V5" i="4" s="1"/>
  <c r="Y45" i="4"/>
  <c r="X44" i="4"/>
  <c r="H44" i="4" s="1"/>
  <c r="G45" i="4"/>
  <c r="C22" i="4"/>
  <c r="C24" i="4" s="1"/>
  <c r="Y5" i="4"/>
  <c r="Z5" i="4" s="1"/>
  <c r="X4" i="4"/>
  <c r="Z43" i="4"/>
  <c r="U42" i="3"/>
  <c r="Z42" i="3"/>
  <c r="G6" i="3"/>
  <c r="X7" i="3"/>
  <c r="H7" i="3" s="1"/>
  <c r="Y8" i="3"/>
  <c r="Z8" i="3" s="1"/>
  <c r="G44" i="3"/>
  <c r="X43" i="3"/>
  <c r="H43" i="3" s="1"/>
  <c r="Y44" i="3"/>
  <c r="U8" i="3"/>
  <c r="U44" i="4" l="1"/>
  <c r="Z44" i="4"/>
  <c r="K5" i="4"/>
  <c r="L5" i="4" s="1"/>
  <c r="X45" i="4"/>
  <c r="H45" i="4" s="1"/>
  <c r="C23" i="4" s="1"/>
  <c r="C25" i="4" s="1"/>
  <c r="V22" i="4"/>
  <c r="K22" i="4" s="1"/>
  <c r="L22" i="4" s="1"/>
  <c r="V24" i="4"/>
  <c r="K24" i="4" s="1"/>
  <c r="L24" i="4" s="1"/>
  <c r="V23" i="4"/>
  <c r="K23" i="4" s="1"/>
  <c r="L23" i="4" s="1"/>
  <c r="V21" i="4"/>
  <c r="K21" i="4" s="1"/>
  <c r="L21" i="4" s="1"/>
  <c r="V20" i="4"/>
  <c r="K20" i="4" s="1"/>
  <c r="L20" i="4" s="1"/>
  <c r="V19" i="4"/>
  <c r="K19" i="4" s="1"/>
  <c r="L19" i="4" s="1"/>
  <c r="V18" i="4"/>
  <c r="K18" i="4" s="1"/>
  <c r="L18" i="4" s="1"/>
  <c r="V17" i="4"/>
  <c r="K17" i="4" s="1"/>
  <c r="L17" i="4" s="1"/>
  <c r="V16" i="4"/>
  <c r="K16" i="4" s="1"/>
  <c r="L16" i="4" s="1"/>
  <c r="V15" i="4"/>
  <c r="K15" i="4" s="1"/>
  <c r="L15" i="4" s="1"/>
  <c r="V14" i="4"/>
  <c r="K14" i="4" s="1"/>
  <c r="L14" i="4" s="1"/>
  <c r="V13" i="4"/>
  <c r="K13" i="4" s="1"/>
  <c r="L13" i="4" s="1"/>
  <c r="V12" i="4"/>
  <c r="K12" i="4" s="1"/>
  <c r="L12" i="4" s="1"/>
  <c r="V11" i="4"/>
  <c r="K11" i="4" s="1"/>
  <c r="L11" i="4" s="1"/>
  <c r="V10" i="4"/>
  <c r="K10" i="4" s="1"/>
  <c r="L10" i="4" s="1"/>
  <c r="V9" i="4"/>
  <c r="K9" i="4" s="1"/>
  <c r="L9" i="4" s="1"/>
  <c r="V8" i="4"/>
  <c r="K8" i="4" s="1"/>
  <c r="L8" i="4" s="1"/>
  <c r="V7" i="4"/>
  <c r="K7" i="4" s="1"/>
  <c r="L7" i="4" s="1"/>
  <c r="V6" i="4"/>
  <c r="K6" i="4" s="1"/>
  <c r="L6" i="4" s="1"/>
  <c r="Z43" i="3"/>
  <c r="U43" i="3"/>
  <c r="U7" i="3"/>
  <c r="X44" i="3"/>
  <c r="H44" i="3" s="1"/>
  <c r="G45" i="3"/>
  <c r="Y45" i="3"/>
  <c r="G5" i="3"/>
  <c r="X6" i="3"/>
  <c r="H6" i="3" s="1"/>
  <c r="Y7" i="3"/>
  <c r="Z7" i="3" s="1"/>
  <c r="M6" i="4" l="1"/>
  <c r="L103" i="4"/>
  <c r="M14" i="4"/>
  <c r="L111" i="4"/>
  <c r="M23" i="4"/>
  <c r="L120" i="4"/>
  <c r="M11" i="4"/>
  <c r="L108" i="4"/>
  <c r="M15" i="4"/>
  <c r="L112" i="4"/>
  <c r="M19" i="4"/>
  <c r="L116" i="4"/>
  <c r="M24" i="4"/>
  <c r="L121" i="4"/>
  <c r="M10" i="4"/>
  <c r="L107" i="4"/>
  <c r="M18" i="4"/>
  <c r="L115" i="4"/>
  <c r="M7" i="4"/>
  <c r="L104" i="4"/>
  <c r="M9" i="4"/>
  <c r="L106" i="4"/>
  <c r="M13" i="4"/>
  <c r="L110" i="4"/>
  <c r="M17" i="4"/>
  <c r="L114" i="4"/>
  <c r="M21" i="4"/>
  <c r="L118" i="4"/>
  <c r="M8" i="4"/>
  <c r="L105" i="4"/>
  <c r="M12" i="4"/>
  <c r="L109" i="4"/>
  <c r="M16" i="4"/>
  <c r="L113" i="4"/>
  <c r="M20" i="4"/>
  <c r="L117" i="4"/>
  <c r="Z45" i="4"/>
  <c r="U45" i="4"/>
  <c r="C27" i="4" s="1"/>
  <c r="M22" i="4"/>
  <c r="L119" i="4"/>
  <c r="M5" i="4"/>
  <c r="L102" i="4"/>
  <c r="U44" i="3"/>
  <c r="X5" i="3"/>
  <c r="H5" i="3" s="1"/>
  <c r="Y6" i="3"/>
  <c r="Z6" i="3" s="1"/>
  <c r="G4" i="3"/>
  <c r="U6" i="3"/>
  <c r="X45" i="3"/>
  <c r="H45" i="3" s="1"/>
  <c r="Z44" i="3"/>
  <c r="V26" i="4" l="1"/>
  <c r="K26" i="4" s="1"/>
  <c r="L26" i="4" s="1"/>
  <c r="V27" i="4"/>
  <c r="K27" i="4" s="1"/>
  <c r="L27" i="4" s="1"/>
  <c r="V28" i="4"/>
  <c r="K28" i="4" s="1"/>
  <c r="L28" i="4" s="1"/>
  <c r="V29" i="4"/>
  <c r="K29" i="4" s="1"/>
  <c r="L29" i="4" s="1"/>
  <c r="V30" i="4"/>
  <c r="K30" i="4" s="1"/>
  <c r="L30" i="4" s="1"/>
  <c r="V31" i="4"/>
  <c r="K31" i="4" s="1"/>
  <c r="L31" i="4" s="1"/>
  <c r="V32" i="4"/>
  <c r="K32" i="4" s="1"/>
  <c r="L32" i="4" s="1"/>
  <c r="V33" i="4"/>
  <c r="K33" i="4" s="1"/>
  <c r="L33" i="4" s="1"/>
  <c r="V34" i="4"/>
  <c r="K34" i="4" s="1"/>
  <c r="L34" i="4" s="1"/>
  <c r="V35" i="4"/>
  <c r="K35" i="4" s="1"/>
  <c r="L35" i="4" s="1"/>
  <c r="V36" i="4"/>
  <c r="K36" i="4" s="1"/>
  <c r="L36" i="4" s="1"/>
  <c r="V37" i="4"/>
  <c r="K37" i="4" s="1"/>
  <c r="L37" i="4" s="1"/>
  <c r="V38" i="4"/>
  <c r="K38" i="4" s="1"/>
  <c r="L38" i="4" s="1"/>
  <c r="V39" i="4"/>
  <c r="K39" i="4" s="1"/>
  <c r="L39" i="4" s="1"/>
  <c r="V40" i="4"/>
  <c r="K40" i="4" s="1"/>
  <c r="L40" i="4" s="1"/>
  <c r="V41" i="4"/>
  <c r="K41" i="4" s="1"/>
  <c r="L41" i="4" s="1"/>
  <c r="V42" i="4"/>
  <c r="K42" i="4" s="1"/>
  <c r="L42" i="4" s="1"/>
  <c r="V43" i="4"/>
  <c r="K43" i="4" s="1"/>
  <c r="L43" i="4" s="1"/>
  <c r="V44" i="4"/>
  <c r="K44" i="4" s="1"/>
  <c r="L44" i="4" s="1"/>
  <c r="V45" i="4"/>
  <c r="K45" i="4" s="1"/>
  <c r="L45" i="4" s="1"/>
  <c r="Z45" i="3"/>
  <c r="U5" i="3"/>
  <c r="X4" i="3"/>
  <c r="Y5" i="3"/>
  <c r="Z5" i="3" s="1"/>
  <c r="U45" i="3"/>
  <c r="M41" i="4" l="1"/>
  <c r="L138" i="4"/>
  <c r="M40" i="4"/>
  <c r="L137" i="4"/>
  <c r="M36" i="4"/>
  <c r="L133" i="4"/>
  <c r="M32" i="4"/>
  <c r="L129" i="4"/>
  <c r="M28" i="4"/>
  <c r="L125" i="4"/>
  <c r="M44" i="4"/>
  <c r="L141" i="4"/>
  <c r="M43" i="4"/>
  <c r="L140" i="4"/>
  <c r="M39" i="4"/>
  <c r="L136" i="4"/>
  <c r="M35" i="4"/>
  <c r="L132" i="4"/>
  <c r="M31" i="4"/>
  <c r="L128" i="4"/>
  <c r="M27" i="4"/>
  <c r="L124" i="4"/>
  <c r="M45" i="4"/>
  <c r="L142" i="4"/>
  <c r="M42" i="4"/>
  <c r="L139" i="4"/>
  <c r="M38" i="4"/>
  <c r="L135" i="4"/>
  <c r="M34" i="4"/>
  <c r="L131" i="4"/>
  <c r="M30" i="4"/>
  <c r="L127" i="4"/>
  <c r="M26" i="4"/>
  <c r="L123" i="4"/>
  <c r="C28" i="4"/>
  <c r="M37" i="4"/>
  <c r="L134" i="4"/>
  <c r="M33" i="4"/>
  <c r="L130" i="4"/>
  <c r="M29" i="4"/>
  <c r="L126" i="4"/>
  <c r="U4" i="3"/>
  <c r="C29" i="4" l="1"/>
  <c r="C33" i="4"/>
  <c r="C32" i="4"/>
  <c r="C22" i="3"/>
  <c r="C24" i="3" s="1"/>
  <c r="C36" i="4" l="1"/>
  <c r="C26" i="3"/>
  <c r="V9" i="3" l="1"/>
  <c r="K9" i="3" s="1"/>
  <c r="L9" i="3" s="1"/>
  <c r="V8" i="3"/>
  <c r="K8" i="3" s="1"/>
  <c r="L8" i="3" s="1"/>
  <c r="V7" i="3"/>
  <c r="K7" i="3" s="1"/>
  <c r="L7" i="3" s="1"/>
  <c r="V6" i="3"/>
  <c r="K6" i="3" s="1"/>
  <c r="L6" i="3" s="1"/>
  <c r="V5" i="3"/>
  <c r="K5" i="3" s="1"/>
  <c r="L5" i="3" s="1"/>
  <c r="V4" i="3"/>
  <c r="V24" i="3"/>
  <c r="K24" i="3" s="1"/>
  <c r="L24" i="3" s="1"/>
  <c r="V23" i="3"/>
  <c r="K23" i="3" s="1"/>
  <c r="L23" i="3" s="1"/>
  <c r="V22" i="3"/>
  <c r="K22" i="3" s="1"/>
  <c r="L22" i="3" s="1"/>
  <c r="V21" i="3"/>
  <c r="K21" i="3" s="1"/>
  <c r="L21" i="3" s="1"/>
  <c r="V20" i="3"/>
  <c r="K20" i="3" s="1"/>
  <c r="L20" i="3" s="1"/>
  <c r="V19" i="3"/>
  <c r="K19" i="3" s="1"/>
  <c r="L19" i="3" s="1"/>
  <c r="V18" i="3"/>
  <c r="K18" i="3" s="1"/>
  <c r="L18" i="3" s="1"/>
  <c r="V17" i="3"/>
  <c r="K17" i="3" s="1"/>
  <c r="L17" i="3" s="1"/>
  <c r="V16" i="3"/>
  <c r="K16" i="3" s="1"/>
  <c r="L16" i="3" s="1"/>
  <c r="V15" i="3"/>
  <c r="K15" i="3" s="1"/>
  <c r="L15" i="3" s="1"/>
  <c r="V14" i="3"/>
  <c r="K14" i="3" s="1"/>
  <c r="L14" i="3" s="1"/>
  <c r="V13" i="3"/>
  <c r="K13" i="3" s="1"/>
  <c r="L13" i="3" s="1"/>
  <c r="V12" i="3"/>
  <c r="K12" i="3" s="1"/>
  <c r="L12" i="3" s="1"/>
  <c r="V11" i="3"/>
  <c r="K11" i="3" s="1"/>
  <c r="L11" i="3" s="1"/>
  <c r="V10" i="3"/>
  <c r="K10" i="3" s="1"/>
  <c r="L10" i="3" s="1"/>
  <c r="M17" i="3" l="1"/>
  <c r="L114" i="3"/>
  <c r="M14" i="3"/>
  <c r="L111" i="3"/>
  <c r="M11" i="3"/>
  <c r="L108" i="3"/>
  <c r="M15" i="3"/>
  <c r="L112" i="3"/>
  <c r="M19" i="3"/>
  <c r="L116" i="3"/>
  <c r="M23" i="3"/>
  <c r="L120" i="3"/>
  <c r="M6" i="3"/>
  <c r="L103" i="3"/>
  <c r="M10" i="3"/>
  <c r="L107" i="3"/>
  <c r="M22" i="3"/>
  <c r="L119" i="3"/>
  <c r="M12" i="3"/>
  <c r="L109" i="3"/>
  <c r="M16" i="3"/>
  <c r="L113" i="3"/>
  <c r="M20" i="3"/>
  <c r="L117" i="3"/>
  <c r="M24" i="3"/>
  <c r="L121" i="3"/>
  <c r="M7" i="3"/>
  <c r="L104" i="3"/>
  <c r="M13" i="3"/>
  <c r="L110" i="3"/>
  <c r="M21" i="3"/>
  <c r="L118" i="3"/>
  <c r="M8" i="3"/>
  <c r="L105" i="3"/>
  <c r="M18" i="3"/>
  <c r="L115" i="3"/>
  <c r="M5" i="3"/>
  <c r="L102" i="3"/>
  <c r="M9" i="3"/>
  <c r="L106" i="3"/>
  <c r="C23" i="3"/>
  <c r="C25" i="3" s="1"/>
  <c r="C27" i="3" l="1"/>
  <c r="V41" i="3" l="1"/>
  <c r="K41" i="3" s="1"/>
  <c r="L41" i="3" s="1"/>
  <c r="V42" i="3"/>
  <c r="K42" i="3" s="1"/>
  <c r="L42" i="3" s="1"/>
  <c r="V43" i="3"/>
  <c r="K43" i="3" s="1"/>
  <c r="L43" i="3" s="1"/>
  <c r="V44" i="3"/>
  <c r="K44" i="3" s="1"/>
  <c r="L44" i="3" s="1"/>
  <c r="V45" i="3"/>
  <c r="K45" i="3" s="1"/>
  <c r="L45" i="3" s="1"/>
  <c r="V26" i="3"/>
  <c r="K26" i="3" s="1"/>
  <c r="L26" i="3" s="1"/>
  <c r="L123" i="3" s="1"/>
  <c r="V27" i="3"/>
  <c r="K27" i="3" s="1"/>
  <c r="L27" i="3" s="1"/>
  <c r="V28" i="3"/>
  <c r="K28" i="3" s="1"/>
  <c r="L28" i="3" s="1"/>
  <c r="V29" i="3"/>
  <c r="K29" i="3" s="1"/>
  <c r="L29" i="3" s="1"/>
  <c r="V30" i="3"/>
  <c r="K30" i="3" s="1"/>
  <c r="L30" i="3" s="1"/>
  <c r="V31" i="3"/>
  <c r="K31" i="3" s="1"/>
  <c r="L31" i="3" s="1"/>
  <c r="V32" i="3"/>
  <c r="K32" i="3" s="1"/>
  <c r="L32" i="3" s="1"/>
  <c r="V33" i="3"/>
  <c r="K33" i="3" s="1"/>
  <c r="L33" i="3" s="1"/>
  <c r="V34" i="3"/>
  <c r="K34" i="3" s="1"/>
  <c r="L34" i="3" s="1"/>
  <c r="V35" i="3"/>
  <c r="K35" i="3" s="1"/>
  <c r="L35" i="3" s="1"/>
  <c r="V36" i="3"/>
  <c r="K36" i="3" s="1"/>
  <c r="L36" i="3" s="1"/>
  <c r="V37" i="3"/>
  <c r="K37" i="3" s="1"/>
  <c r="L37" i="3" s="1"/>
  <c r="V38" i="3"/>
  <c r="K38" i="3" s="1"/>
  <c r="L38" i="3" s="1"/>
  <c r="V39" i="3"/>
  <c r="K39" i="3" s="1"/>
  <c r="L39" i="3" s="1"/>
  <c r="V40" i="3"/>
  <c r="K40" i="3" s="1"/>
  <c r="L40" i="3" s="1"/>
  <c r="M35" i="3" l="1"/>
  <c r="L132" i="3"/>
  <c r="M31" i="3"/>
  <c r="L128" i="3"/>
  <c r="M34" i="3"/>
  <c r="L131" i="3"/>
  <c r="M40" i="3"/>
  <c r="L137" i="3"/>
  <c r="M36" i="3"/>
  <c r="L133" i="3"/>
  <c r="M32" i="3"/>
  <c r="L129" i="3"/>
  <c r="M28" i="3"/>
  <c r="L125" i="3"/>
  <c r="M44" i="3"/>
  <c r="L141" i="3"/>
  <c r="M43" i="3"/>
  <c r="L140" i="3"/>
  <c r="M42" i="3"/>
  <c r="L139" i="3"/>
  <c r="M39" i="3"/>
  <c r="L136" i="3"/>
  <c r="M27" i="3"/>
  <c r="L124" i="3"/>
  <c r="C29" i="3" s="1"/>
  <c r="M38" i="3"/>
  <c r="L135" i="3"/>
  <c r="M30" i="3"/>
  <c r="L127" i="3"/>
  <c r="M37" i="3"/>
  <c r="L134" i="3"/>
  <c r="M33" i="3"/>
  <c r="L130" i="3"/>
  <c r="M29" i="3"/>
  <c r="L126" i="3"/>
  <c r="M45" i="3"/>
  <c r="L142" i="3"/>
  <c r="M41" i="3"/>
  <c r="L138" i="3"/>
  <c r="C28" i="3"/>
  <c r="M26" i="3"/>
  <c r="C33" i="3" l="1"/>
  <c r="C32" i="3"/>
  <c r="C36" i="3" l="1"/>
</calcChain>
</file>

<file path=xl/sharedStrings.xml><?xml version="1.0" encoding="utf-8"?>
<sst xmlns="http://schemas.openxmlformats.org/spreadsheetml/2006/main" count="164" uniqueCount="72">
  <si>
    <t>Long</t>
  </si>
  <si>
    <t>Short</t>
  </si>
  <si>
    <t>Leverage</t>
  </si>
  <si>
    <t>CorrectOrder</t>
  </si>
  <si>
    <t>RiskFactorLong</t>
  </si>
  <si>
    <t>RiskFactorShort</t>
  </si>
  <si>
    <t>Outputs</t>
  </si>
  <si>
    <t>LogNormalEs</t>
  </si>
  <si>
    <t>NegativeLogNormalEs</t>
  </si>
  <si>
    <t>quantileForOneMinusLambda</t>
  </si>
  <si>
    <t>quantileForLambda</t>
  </si>
  <si>
    <t>muBar=(mu - 0.5*sigma*sigma) * tau</t>
  </si>
  <si>
    <t>sigmaBar=math.Sqrt(tau) * sigma</t>
  </si>
  <si>
    <t>mu</t>
  </si>
  <si>
    <t>sigma</t>
  </si>
  <si>
    <t>minutes</t>
  </si>
  <si>
    <t xml:space="preserve">which is </t>
  </si>
  <si>
    <t>tau</t>
  </si>
  <si>
    <t>lambd</t>
  </si>
  <si>
    <t>Inputs</t>
  </si>
  <si>
    <t>Implied stake</t>
  </si>
  <si>
    <t>Stake plus margin</t>
  </si>
  <si>
    <t>Resulting buy side margin</t>
  </si>
  <si>
    <t>Resulting sell side margin</t>
  </si>
  <si>
    <t>Margins</t>
  </si>
  <si>
    <t>USD-siskas</t>
  </si>
  <si>
    <t>Resulting buy liquidity</t>
  </si>
  <si>
    <t>Resulting sell liquidity</t>
  </si>
  <si>
    <t>contracts</t>
  </si>
  <si>
    <t>Buy side scaling</t>
  </si>
  <si>
    <t>Sell side scaling</t>
  </si>
  <si>
    <t>Buy side remaining</t>
  </si>
  <si>
    <t>Margin</t>
  </si>
  <si>
    <t>Commitment implied volume</t>
  </si>
  <si>
    <t xml:space="preserve">MM order </t>
  </si>
  <si>
    <t>LO volume</t>
  </si>
  <si>
    <t>Mid</t>
  </si>
  <si>
    <t>Sell side remaining</t>
  </si>
  <si>
    <t>Buy side LOB liq</t>
  </si>
  <si>
    <t>Sell side LOB liq</t>
  </si>
  <si>
    <t xml:space="preserve">Obligation </t>
  </si>
  <si>
    <t>USD</t>
  </si>
  <si>
    <t>Stake</t>
  </si>
  <si>
    <t>Liquidity</t>
  </si>
  <si>
    <t>Target</t>
  </si>
  <si>
    <t>Settlement Currency</t>
  </si>
  <si>
    <t>Tick size</t>
  </si>
  <si>
    <t>Order book parameters</t>
  </si>
  <si>
    <t>years</t>
  </si>
  <si>
    <t>minute</t>
  </si>
  <si>
    <t>Risk model parameters</t>
  </si>
  <si>
    <t>stake to CCY siskas</t>
  </si>
  <si>
    <t>Liquidity parameters</t>
  </si>
  <si>
    <t>Prob of landing here</t>
  </si>
  <si>
    <t>Trans ub</t>
  </si>
  <si>
    <t>Trans lb</t>
  </si>
  <si>
    <t>Normalised fraction</t>
  </si>
  <si>
    <t>Relevant liquidity fraction</t>
  </si>
  <si>
    <t>Prob of trading</t>
  </si>
  <si>
    <t>Price level</t>
  </si>
  <si>
    <t># of ticks</t>
  </si>
  <si>
    <t xml:space="preserve">LP order </t>
  </si>
  <si>
    <t>LP LO volume</t>
  </si>
  <si>
    <t>Current mid</t>
  </si>
  <si>
    <t>AAPL</t>
  </si>
  <si>
    <t>LP orders</t>
  </si>
  <si>
    <t>Another party orders</t>
  </si>
  <si>
    <t>Another party LO volume</t>
  </si>
  <si>
    <t>Market order book</t>
  </si>
  <si>
    <t>Total LP volume</t>
  </si>
  <si>
    <t>Total Other Party volume</t>
  </si>
  <si>
    <t>Total book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</si>
</sst>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000"/>
    <numFmt numFmtId="165" formatCode="_(* #,##0.00000000000000000000_);_(* \(#,##0.00000000000000000000\);_(* &quot;-&quot;??_);_(@_)"/>
    <numFmt numFmtId="166" formatCode="0.0E+00"/>
    <numFmt numFmtId="167" formatCode="0.0"/>
    <numFmt numFmtId="168" formatCode="0.000000E+00"/>
    <numFmt numFmtId="169" formatCode="_(* #,##0.00000000_);_(* \(#,##0.00000000\);_(* &quot;-&quot;??_);_(@_)"/>
    <numFmt numFmtId="170" formatCode="0.00000"/>
    <numFmt numFmtId="171" formatCode="0.000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1" fontId="1" fillId="2" borderId="0" xfId="1" applyNumberFormat="1" applyFill="1"/>
    <xf numFmtId="0" fontId="1" fillId="2" borderId="0" xfId="1" applyFill="1"/>
    <xf numFmtId="0" fontId="1" fillId="3" borderId="0" xfId="1" applyFill="1"/>
    <xf numFmtId="0" fontId="2" fillId="3" borderId="0" xfId="1" applyFont="1" applyFill="1"/>
    <xf numFmtId="164" fontId="1" fillId="2" borderId="0" xfId="1" applyNumberFormat="1" applyFill="1"/>
    <xf numFmtId="10" fontId="0" fillId="4" borderId="0" xfId="2" applyNumberFormat="1" applyFont="1" applyFill="1"/>
    <xf numFmtId="9" fontId="0" fillId="4" borderId="0" xfId="2" applyFont="1" applyFill="1"/>
    <xf numFmtId="165" fontId="1" fillId="4" borderId="0" xfId="3" applyNumberFormat="1" applyFont="1" applyFill="1" applyBorder="1"/>
    <xf numFmtId="0" fontId="1" fillId="4" borderId="0" xfId="1" applyFill="1"/>
    <xf numFmtId="0" fontId="4" fillId="0" borderId="0" xfId="4"/>
    <xf numFmtId="166" fontId="4" fillId="0" borderId="0" xfId="4" applyNumberFormat="1"/>
    <xf numFmtId="167" fontId="4" fillId="0" borderId="0" xfId="4" applyNumberFormat="1"/>
    <xf numFmtId="2" fontId="4" fillId="2" borderId="0" xfId="4" applyNumberFormat="1" applyFill="1"/>
    <xf numFmtId="0" fontId="4" fillId="2" borderId="0" xfId="4" applyFill="1"/>
    <xf numFmtId="0" fontId="4" fillId="4" borderId="0" xfId="4" applyFill="1"/>
    <xf numFmtId="0" fontId="4" fillId="5" borderId="0" xfId="4" applyFill="1"/>
    <xf numFmtId="167" fontId="4" fillId="2" borderId="0" xfId="4" applyNumberFormat="1" applyFill="1"/>
    <xf numFmtId="0" fontId="5" fillId="6" borderId="0" xfId="4" applyFont="1" applyFill="1"/>
    <xf numFmtId="1" fontId="4" fillId="2" borderId="0" xfId="4" applyNumberFormat="1" applyFill="1"/>
    <xf numFmtId="0" fontId="3" fillId="2" borderId="0" xfId="4" applyFont="1" applyFill="1"/>
    <xf numFmtId="166" fontId="4" fillId="7" borderId="0" xfId="4" applyNumberFormat="1" applyFill="1"/>
    <xf numFmtId="0" fontId="4" fillId="7" borderId="0" xfId="4" applyFill="1"/>
    <xf numFmtId="0" fontId="6" fillId="3" borderId="0" xfId="4" applyFont="1" applyFill="1"/>
    <xf numFmtId="168" fontId="4" fillId="0" borderId="0" xfId="4" applyNumberFormat="1"/>
    <xf numFmtId="0" fontId="3" fillId="4" borderId="0" xfId="4" applyFont="1" applyFill="1"/>
    <xf numFmtId="169" fontId="0" fillId="4" borderId="0" xfId="3" applyNumberFormat="1" applyFont="1" applyFill="1" applyAlignment="1"/>
    <xf numFmtId="9" fontId="0" fillId="4" borderId="0" xfId="5" applyFont="1" applyFill="1" applyAlignment="1"/>
    <xf numFmtId="170" fontId="4" fillId="3" borderId="0" xfId="4" applyNumberFormat="1" applyFill="1"/>
    <xf numFmtId="170" fontId="4" fillId="2" borderId="0" xfId="4" applyNumberFormat="1" applyFill="1"/>
    <xf numFmtId="171" fontId="4" fillId="2" borderId="0" xfId="4" applyNumberFormat="1" applyFill="1"/>
    <xf numFmtId="171" fontId="4" fillId="3" borderId="0" xfId="4" applyNumberFormat="1" applyFill="1"/>
  </cellXfs>
  <cellStyles count="6">
    <cellStyle name="Comma 2" xfId="3" xr:uid="{5E9238CA-D7BA-C84A-94B8-10CA583097D8}"/>
    <cellStyle name="Normal" xfId="0" builtinId="0"/>
    <cellStyle name="Normal 2" xfId="1" xr:uid="{08F1C507-6ACD-B94E-89DD-CD7512B2657C}"/>
    <cellStyle name="Normal 3" xfId="4" xr:uid="{63953CBA-263D-274F-97C2-61C2402D5348}"/>
    <cellStyle name="Per cent 2" xfId="2" xr:uid="{8777B379-A90B-EB46-BD1E-A392B7C99CE9}"/>
    <cellStyle name="Per cent 3" xfId="5" xr:uid="{6838BB17-2F66-0844-A7B3-0D34D0CC6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FB53-BC58-674C-AB16-3B17D088CBA3}">
  <dimension ref="B3:F30"/>
  <sheetViews>
    <sheetView workbookViewId="0">
      <selection activeCell="C32" sqref="C32"/>
    </sheetView>
  </sheetViews>
  <sheetFormatPr baseColWidth="10" defaultRowHeight="16" x14ac:dyDescent="0.2"/>
  <cols>
    <col min="1" max="1" width="10.83203125" style="1"/>
    <col min="2" max="2" width="46.1640625" style="1" customWidth="1"/>
    <col min="3" max="3" width="24.1640625" style="1" bestFit="1" customWidth="1"/>
    <col min="4" max="4" width="10.83203125" style="1"/>
    <col min="5" max="5" width="16.1640625" style="1" customWidth="1"/>
    <col min="6" max="6" width="12.83203125" style="1" bestFit="1" customWidth="1"/>
    <col min="7" max="16384" width="10.83203125" style="1"/>
  </cols>
  <sheetData>
    <row r="3" spans="2:6" x14ac:dyDescent="0.2">
      <c r="B3" s="5" t="s">
        <v>19</v>
      </c>
      <c r="C3" s="4"/>
    </row>
    <row r="4" spans="2:6" x14ac:dyDescent="0.2">
      <c r="B4" s="3" t="s">
        <v>18</v>
      </c>
      <c r="C4" s="10">
        <v>1E-3</v>
      </c>
    </row>
    <row r="5" spans="2:6" x14ac:dyDescent="0.2">
      <c r="B5" s="3" t="s">
        <v>17</v>
      </c>
      <c r="C5" s="9">
        <f>'Step 1'!C10</f>
        <v>1.9012852688417371E-6</v>
      </c>
      <c r="D5" s="1" t="s">
        <v>16</v>
      </c>
      <c r="E5" s="1">
        <f>C5*365.25*24*60</f>
        <v>1</v>
      </c>
      <c r="F5" s="1" t="s">
        <v>15</v>
      </c>
    </row>
    <row r="6" spans="2:6" x14ac:dyDescent="0.2">
      <c r="B6" s="3" t="s">
        <v>14</v>
      </c>
      <c r="C6" s="8">
        <f>'Step 1'!C8</f>
        <v>2.5</v>
      </c>
    </row>
    <row r="7" spans="2:6" x14ac:dyDescent="0.2">
      <c r="B7" s="3" t="s">
        <v>13</v>
      </c>
      <c r="C7" s="7">
        <v>0</v>
      </c>
    </row>
    <row r="9" spans="2:6" x14ac:dyDescent="0.2">
      <c r="B9" s="3" t="s">
        <v>12</v>
      </c>
      <c r="C9" s="3">
        <f>SQRT(C5)*C6</f>
        <v>3.4471775310042935E-3</v>
      </c>
    </row>
    <row r="10" spans="2:6" x14ac:dyDescent="0.2">
      <c r="B10" s="3" t="s">
        <v>11</v>
      </c>
      <c r="C10" s="3">
        <f>C7-0.5*C6*C6*C5</f>
        <v>-5.9415164651304284E-6</v>
      </c>
    </row>
    <row r="11" spans="2:6" x14ac:dyDescent="0.2">
      <c r="B11" s="3" t="s">
        <v>10</v>
      </c>
      <c r="C11" s="3">
        <f>_xlfn.NORM.INV(C4,0,1)</f>
        <v>-3.0902323061678132</v>
      </c>
    </row>
    <row r="12" spans="2:6" x14ac:dyDescent="0.2">
      <c r="B12" s="3" t="s">
        <v>9</v>
      </c>
      <c r="C12" s="3">
        <f>_xlfn.NORM.INV(1-C4,0,1)</f>
        <v>3.0902323061678132</v>
      </c>
    </row>
    <row r="17" spans="2:3" x14ac:dyDescent="0.2">
      <c r="B17" s="3" t="s">
        <v>8</v>
      </c>
      <c r="C17" s="3">
        <f>(1/C4)*EXP(C10+C9*C9*0.5)* ( 1 - _xlfn.NORM.S.DIST(C12-C9,TRUE))</f>
        <v>1.0116689762104114</v>
      </c>
    </row>
    <row r="18" spans="2:3" x14ac:dyDescent="0.2">
      <c r="B18" s="3" t="s">
        <v>7</v>
      </c>
      <c r="C18" s="3">
        <f>-(1/C4)*EXP(C10*C9*C9*0.5) * _xlfn.NORM.S.DIST(C11-C9,TRUE)</f>
        <v>-0.98845466859009623</v>
      </c>
    </row>
    <row r="23" spans="2:3" x14ac:dyDescent="0.2">
      <c r="B23" s="5" t="s">
        <v>6</v>
      </c>
      <c r="C23" s="4"/>
    </row>
    <row r="24" spans="2:3" x14ac:dyDescent="0.2">
      <c r="B24" s="3" t="s">
        <v>5</v>
      </c>
      <c r="C24" s="6">
        <f>C17-1</f>
        <v>1.1668976210411408E-2</v>
      </c>
    </row>
    <row r="25" spans="2:3" x14ac:dyDescent="0.2">
      <c r="B25" s="3" t="s">
        <v>4</v>
      </c>
      <c r="C25" s="3">
        <f>C18+1</f>
        <v>1.154533140990377E-2</v>
      </c>
    </row>
    <row r="26" spans="2:3" x14ac:dyDescent="0.2">
      <c r="B26" s="3" t="s">
        <v>3</v>
      </c>
      <c r="C26" s="3" t="b">
        <f>C24&gt;=C25</f>
        <v>1</v>
      </c>
    </row>
    <row r="28" spans="2:3" x14ac:dyDescent="0.2">
      <c r="B28" s="5" t="s">
        <v>2</v>
      </c>
      <c r="C28" s="4"/>
    </row>
    <row r="29" spans="2:3" x14ac:dyDescent="0.2">
      <c r="B29" s="3" t="s">
        <v>1</v>
      </c>
      <c r="C29" s="2">
        <f>1/C24</f>
        <v>85.697320996144484</v>
      </c>
    </row>
    <row r="30" spans="2:3" x14ac:dyDescent="0.2">
      <c r="B30" s="3" t="s">
        <v>0</v>
      </c>
      <c r="C30" s="2">
        <f>1/C25</f>
        <v>86.615097002948218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2D29-7BB1-F043-9602-AF51A2F34194}">
  <dimension ref="B2:Z193"/>
  <sheetViews>
    <sheetView tabSelected="1" zoomScale="90" zoomScaleNormal="90" workbookViewId="0"/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6.1640625" style="11" customWidth="1"/>
    <col min="12" max="12" width="16.33203125" style="11" customWidth="1"/>
    <col min="13" max="13" width="14.6640625" style="11" customWidth="1"/>
    <col min="14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 t="shared" ref="F4:F23" si="0">1+F5</f>
        <v>21</v>
      </c>
      <c r="G4" s="30">
        <f t="shared" ref="G4:G24" si="1">G5+$C$14</f>
        <v>120.00021000000007</v>
      </c>
      <c r="U4" s="11">
        <f t="shared" ref="U4:U24" si="2">IF(H4&lt;0.0000000001,0,J4)</f>
        <v>0</v>
      </c>
      <c r="V4" s="11">
        <f t="shared" ref="V4:V24" si="3">IF(H4&lt;0.0000000001,0,J4/$C$26)</f>
        <v>0</v>
      </c>
      <c r="X4" s="12">
        <f t="shared" ref="X4:X45" si="4">(LN(G4/$C$13)-($C$7-0.5*$C$8*$C$8)*$C$10)/($C$8*SQRT($C$10))</f>
        <v>2.2312500198120172E-3</v>
      </c>
      <c r="Y4" s="12"/>
      <c r="Z4" s="12"/>
    </row>
    <row r="5" spans="2:26" x14ac:dyDescent="0.2">
      <c r="F5" s="15">
        <f t="shared" si="0"/>
        <v>20</v>
      </c>
      <c r="G5" s="30">
        <f t="shared" si="1"/>
        <v>120.00020000000006</v>
      </c>
      <c r="H5" s="31">
        <f t="shared" ref="H5:H24" si="5">1-_xlfn.NORM.DIST(X5,0,1,TRUE)</f>
        <v>0.49911950490425294</v>
      </c>
      <c r="I5" s="17">
        <v>0</v>
      </c>
      <c r="J5" s="16">
        <v>0</v>
      </c>
      <c r="K5" s="15">
        <f t="shared" ref="K5:K24" si="6">IF(H5&lt;0.0000000001,0,CEILING($C$24*V5/H5/G5,1))</f>
        <v>0</v>
      </c>
      <c r="L5" s="15">
        <f t="shared" ref="L5:L24" si="7">K5+I5</f>
        <v>0</v>
      </c>
      <c r="M5" s="14">
        <f>L5*$G$25*RiskFactors!$C$24</f>
        <v>0</v>
      </c>
      <c r="U5" s="11">
        <f t="shared" si="2"/>
        <v>0</v>
      </c>
      <c r="V5" s="11">
        <f t="shared" si="3"/>
        <v>0</v>
      </c>
      <c r="X5" s="12">
        <f t="shared" si="4"/>
        <v>2.207075694517017E-3</v>
      </c>
      <c r="Y5" s="12">
        <f t="shared" ref="Y5:Y45" si="8">(LN(G4/$C$13)-($C$7-0.5*$C$8*$C$8)*$C$10)/($C$8*SQRT($C$10))</f>
        <v>2.2312500198120172E-3</v>
      </c>
      <c r="Z5" s="12">
        <f t="shared" ref="Z5:Z45" si="9">_xlfn.NORM.DIST(Y5,0,1,TRUE)-_xlfn.NORM.DIST(X5,0,1,TRUE)</f>
        <v>9.6441367127830802E-6</v>
      </c>
    </row>
    <row r="6" spans="2:26" x14ac:dyDescent="0.2">
      <c r="B6" s="5" t="s">
        <v>50</v>
      </c>
      <c r="C6" s="4"/>
      <c r="D6" s="5"/>
      <c r="F6" s="15">
        <f t="shared" si="0"/>
        <v>19</v>
      </c>
      <c r="G6" s="30">
        <f t="shared" si="1"/>
        <v>120.00019000000006</v>
      </c>
      <c r="H6" s="31">
        <f t="shared" si="5"/>
        <v>0.49912914904228423</v>
      </c>
      <c r="I6" s="17">
        <v>0</v>
      </c>
      <c r="J6" s="16">
        <v>0</v>
      </c>
      <c r="K6" s="15">
        <f t="shared" si="6"/>
        <v>0</v>
      </c>
      <c r="L6" s="15">
        <f t="shared" si="7"/>
        <v>0</v>
      </c>
      <c r="M6" s="14">
        <f>L6*$G$25*RiskFactors!$C$24</f>
        <v>0</v>
      </c>
      <c r="U6" s="11">
        <f t="shared" si="2"/>
        <v>0</v>
      </c>
      <c r="V6" s="11">
        <f t="shared" si="3"/>
        <v>0</v>
      </c>
      <c r="X6" s="12">
        <f t="shared" si="4"/>
        <v>2.1829013672074928E-3</v>
      </c>
      <c r="Y6" s="12">
        <f t="shared" si="8"/>
        <v>2.207075694517017E-3</v>
      </c>
      <c r="Z6" s="12">
        <f t="shared" si="9"/>
        <v>9.6441380312839442E-6</v>
      </c>
    </row>
    <row r="7" spans="2:26" x14ac:dyDescent="0.2">
      <c r="B7" s="15" t="s">
        <v>13</v>
      </c>
      <c r="C7" s="16">
        <v>0</v>
      </c>
      <c r="D7" s="15"/>
      <c r="F7" s="15">
        <f t="shared" si="0"/>
        <v>18</v>
      </c>
      <c r="G7" s="30">
        <f t="shared" si="1"/>
        <v>120.00018000000006</v>
      </c>
      <c r="H7" s="31">
        <f t="shared" si="5"/>
        <v>0.4991387931816279</v>
      </c>
      <c r="I7" s="17">
        <v>0</v>
      </c>
      <c r="J7" s="16">
        <v>0</v>
      </c>
      <c r="K7" s="15">
        <f t="shared" si="6"/>
        <v>0</v>
      </c>
      <c r="L7" s="15">
        <f t="shared" si="7"/>
        <v>0</v>
      </c>
      <c r="M7" s="14">
        <f>L7*$G$25*RiskFactors!$C$24</f>
        <v>0</v>
      </c>
      <c r="U7" s="11">
        <f t="shared" si="2"/>
        <v>0</v>
      </c>
      <c r="V7" s="11">
        <f t="shared" si="3"/>
        <v>0</v>
      </c>
      <c r="X7" s="12">
        <f t="shared" si="4"/>
        <v>2.1587270378834447E-3</v>
      </c>
      <c r="Y7" s="12">
        <f t="shared" si="8"/>
        <v>2.1829013672074928E-3</v>
      </c>
      <c r="Z7" s="12">
        <f t="shared" si="9"/>
        <v>9.6441393436785816E-6</v>
      </c>
    </row>
    <row r="8" spans="2:26" x14ac:dyDescent="0.2">
      <c r="B8" s="15" t="s">
        <v>14</v>
      </c>
      <c r="C8" s="28">
        <v>2.5</v>
      </c>
      <c r="D8" s="15"/>
      <c r="F8" s="15">
        <f t="shared" si="0"/>
        <v>17</v>
      </c>
      <c r="G8" s="30">
        <f t="shared" si="1"/>
        <v>120.00017000000005</v>
      </c>
      <c r="H8" s="31">
        <f t="shared" si="5"/>
        <v>0.49914843732227865</v>
      </c>
      <c r="I8" s="17">
        <v>0</v>
      </c>
      <c r="J8" s="16">
        <v>0</v>
      </c>
      <c r="K8" s="15">
        <f t="shared" si="6"/>
        <v>0</v>
      </c>
      <c r="L8" s="15">
        <f t="shared" si="7"/>
        <v>0</v>
      </c>
      <c r="M8" s="14">
        <f>L8*$G$25*RiskFactors!$C$24</f>
        <v>0</v>
      </c>
      <c r="U8" s="11">
        <f t="shared" si="2"/>
        <v>0</v>
      </c>
      <c r="V8" s="11">
        <f t="shared" si="3"/>
        <v>0</v>
      </c>
      <c r="X8" s="12">
        <f t="shared" si="4"/>
        <v>2.1345527065448717E-3</v>
      </c>
      <c r="Y8" s="12">
        <f t="shared" si="8"/>
        <v>2.1587270378834447E-3</v>
      </c>
      <c r="Z8" s="12">
        <f t="shared" si="9"/>
        <v>9.6441406507441485E-6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 t="shared" si="0"/>
        <v>16</v>
      </c>
      <c r="G9" s="30">
        <f t="shared" si="1"/>
        <v>120.00016000000005</v>
      </c>
      <c r="H9" s="31">
        <f t="shared" si="5"/>
        <v>0.49915808146423069</v>
      </c>
      <c r="I9" s="17">
        <v>0</v>
      </c>
      <c r="J9" s="16">
        <v>0</v>
      </c>
      <c r="K9" s="15">
        <f t="shared" si="6"/>
        <v>0</v>
      </c>
      <c r="L9" s="15">
        <f t="shared" si="7"/>
        <v>0</v>
      </c>
      <c r="M9" s="14">
        <f>L9*$G$25*RiskFactors!$C$24</f>
        <v>0</v>
      </c>
      <c r="U9" s="11">
        <f t="shared" si="2"/>
        <v>0</v>
      </c>
      <c r="V9" s="11">
        <f t="shared" si="3"/>
        <v>0</v>
      </c>
      <c r="X9" s="12">
        <f t="shared" si="4"/>
        <v>2.1103783731917739E-3</v>
      </c>
      <c r="Y9" s="12">
        <f t="shared" si="8"/>
        <v>2.1345527065448717E-3</v>
      </c>
      <c r="Z9" s="12">
        <f t="shared" si="9"/>
        <v>9.6441419520365557E-6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 t="shared" si="0"/>
        <v>15</v>
      </c>
      <c r="G10" s="30">
        <f t="shared" si="1"/>
        <v>120.00015000000005</v>
      </c>
      <c r="H10" s="31">
        <f t="shared" si="5"/>
        <v>0.49916772560747846</v>
      </c>
      <c r="I10" s="17">
        <v>0</v>
      </c>
      <c r="J10" s="16">
        <v>0</v>
      </c>
      <c r="K10" s="15">
        <f t="shared" si="6"/>
        <v>0</v>
      </c>
      <c r="L10" s="15">
        <f t="shared" si="7"/>
        <v>0</v>
      </c>
      <c r="M10" s="14">
        <f>L10*$G$25*RiskFactors!$C$24</f>
        <v>0</v>
      </c>
      <c r="U10" s="11">
        <f t="shared" si="2"/>
        <v>0</v>
      </c>
      <c r="V10" s="11">
        <f t="shared" si="3"/>
        <v>0</v>
      </c>
      <c r="X10" s="12">
        <f t="shared" si="4"/>
        <v>2.0862040378241513E-3</v>
      </c>
      <c r="Y10" s="12">
        <f t="shared" si="8"/>
        <v>2.1103783731917739E-3</v>
      </c>
      <c r="Z10" s="12">
        <f t="shared" si="9"/>
        <v>9.6441432477778477E-6</v>
      </c>
    </row>
    <row r="11" spans="2:26" x14ac:dyDescent="0.2">
      <c r="F11" s="15">
        <f t="shared" si="0"/>
        <v>14</v>
      </c>
      <c r="G11" s="30">
        <f t="shared" si="1"/>
        <v>120.00014000000004</v>
      </c>
      <c r="H11" s="31">
        <f t="shared" si="5"/>
        <v>0.49917736975201632</v>
      </c>
      <c r="I11" s="17">
        <v>0</v>
      </c>
      <c r="J11" s="16">
        <v>0</v>
      </c>
      <c r="K11" s="15">
        <f t="shared" si="6"/>
        <v>0</v>
      </c>
      <c r="L11" s="15">
        <f t="shared" si="7"/>
        <v>0</v>
      </c>
      <c r="M11" s="14">
        <f>L11*$G$25*RiskFactors!$C$24</f>
        <v>0</v>
      </c>
      <c r="U11" s="11">
        <f t="shared" si="2"/>
        <v>0</v>
      </c>
      <c r="V11" s="11">
        <f t="shared" si="3"/>
        <v>0</v>
      </c>
      <c r="X11" s="12">
        <f t="shared" si="4"/>
        <v>2.062029700442003E-3</v>
      </c>
      <c r="Y11" s="12">
        <f t="shared" si="8"/>
        <v>2.0862040378241513E-3</v>
      </c>
      <c r="Z11" s="12">
        <f t="shared" si="9"/>
        <v>9.6441445378570023E-6</v>
      </c>
    </row>
    <row r="12" spans="2:26" x14ac:dyDescent="0.2">
      <c r="B12" s="5" t="s">
        <v>47</v>
      </c>
      <c r="C12" s="4"/>
      <c r="D12" s="5"/>
      <c r="F12" s="15">
        <f t="shared" si="0"/>
        <v>13</v>
      </c>
      <c r="G12" s="30">
        <f t="shared" si="1"/>
        <v>120.00013000000004</v>
      </c>
      <c r="H12" s="31">
        <f t="shared" si="5"/>
        <v>0.49918701389783848</v>
      </c>
      <c r="I12" s="17">
        <v>0</v>
      </c>
      <c r="J12" s="16">
        <v>0</v>
      </c>
      <c r="K12" s="15">
        <f t="shared" si="6"/>
        <v>0</v>
      </c>
      <c r="L12" s="15">
        <f t="shared" si="7"/>
        <v>0</v>
      </c>
      <c r="M12" s="14">
        <f>L12*$G$25*RiskFactors!$C$24</f>
        <v>0</v>
      </c>
      <c r="U12" s="11">
        <f t="shared" si="2"/>
        <v>0</v>
      </c>
      <c r="V12" s="11">
        <f t="shared" si="3"/>
        <v>0</v>
      </c>
      <c r="X12" s="12">
        <f t="shared" si="4"/>
        <v>2.0378553610453289E-3</v>
      </c>
      <c r="Y12" s="12">
        <f t="shared" si="8"/>
        <v>2.062029700442003E-3</v>
      </c>
      <c r="Z12" s="12">
        <f t="shared" si="9"/>
        <v>9.6441458221629972E-6</v>
      </c>
    </row>
    <row r="13" spans="2:26" x14ac:dyDescent="0.2">
      <c r="B13" s="15" t="s">
        <v>63</v>
      </c>
      <c r="C13" s="16">
        <v>120</v>
      </c>
      <c r="D13" s="21" t="str">
        <f>C15&amp;" to "&amp;C16</f>
        <v>USD to AAPL</v>
      </c>
      <c r="F13" s="15">
        <f t="shared" si="0"/>
        <v>12</v>
      </c>
      <c r="G13" s="30">
        <f t="shared" si="1"/>
        <v>120.00012000000004</v>
      </c>
      <c r="H13" s="31">
        <f t="shared" si="5"/>
        <v>0.49919665804493951</v>
      </c>
      <c r="I13" s="17">
        <v>0</v>
      </c>
      <c r="J13" s="16">
        <v>0</v>
      </c>
      <c r="K13" s="15">
        <f t="shared" si="6"/>
        <v>0</v>
      </c>
      <c r="L13" s="15">
        <f t="shared" si="7"/>
        <v>0</v>
      </c>
      <c r="M13" s="14">
        <f>L13*$G$25*RiskFactors!$C$24</f>
        <v>0</v>
      </c>
      <c r="U13" s="11">
        <f t="shared" si="2"/>
        <v>0</v>
      </c>
      <c r="V13" s="11">
        <f t="shared" si="3"/>
        <v>0</v>
      </c>
      <c r="X13" s="12">
        <f t="shared" si="4"/>
        <v>2.0136810196341288E-3</v>
      </c>
      <c r="Y13" s="12">
        <f t="shared" si="8"/>
        <v>2.0378553610453289E-3</v>
      </c>
      <c r="Z13" s="12">
        <f t="shared" si="9"/>
        <v>9.6441471010288993E-6</v>
      </c>
    </row>
    <row r="14" spans="2:26" x14ac:dyDescent="0.2">
      <c r="B14" s="15" t="s">
        <v>46</v>
      </c>
      <c r="C14" s="16">
        <v>1.0000000000000001E-5</v>
      </c>
      <c r="D14" s="15"/>
      <c r="F14" s="15">
        <f t="shared" si="0"/>
        <v>11</v>
      </c>
      <c r="G14" s="30">
        <f t="shared" si="1"/>
        <v>120.00011000000003</v>
      </c>
      <c r="H14" s="31">
        <f t="shared" si="5"/>
        <v>0.49920630219331374</v>
      </c>
      <c r="I14" s="17">
        <v>0</v>
      </c>
      <c r="J14" s="16">
        <v>0</v>
      </c>
      <c r="K14" s="15">
        <f t="shared" si="6"/>
        <v>0</v>
      </c>
      <c r="L14" s="15">
        <f t="shared" si="7"/>
        <v>0</v>
      </c>
      <c r="M14" s="14">
        <f>L14*$G$25*RiskFactors!$C$24</f>
        <v>0</v>
      </c>
      <c r="U14" s="11">
        <f t="shared" si="2"/>
        <v>0</v>
      </c>
      <c r="V14" s="11">
        <f t="shared" si="3"/>
        <v>0</v>
      </c>
      <c r="X14" s="12">
        <f t="shared" si="4"/>
        <v>1.9895066762084016E-3</v>
      </c>
      <c r="Y14" s="12">
        <f t="shared" si="8"/>
        <v>2.0136810196341288E-3</v>
      </c>
      <c r="Z14" s="12">
        <f t="shared" si="9"/>
        <v>9.6441483742326639E-6</v>
      </c>
    </row>
    <row r="15" spans="2:26" x14ac:dyDescent="0.2">
      <c r="B15" s="21" t="s">
        <v>45</v>
      </c>
      <c r="C15" s="26" t="s">
        <v>41</v>
      </c>
      <c r="D15" s="15"/>
      <c r="F15" s="15">
        <f t="shared" si="0"/>
        <v>10</v>
      </c>
      <c r="G15" s="30">
        <f t="shared" si="1"/>
        <v>120.00010000000003</v>
      </c>
      <c r="H15" s="31">
        <f t="shared" si="5"/>
        <v>0.4992159463429553</v>
      </c>
      <c r="I15" s="17">
        <v>0</v>
      </c>
      <c r="J15" s="16">
        <v>1</v>
      </c>
      <c r="K15" s="15">
        <f t="shared" si="6"/>
        <v>167</v>
      </c>
      <c r="L15" s="15">
        <f t="shared" si="7"/>
        <v>167</v>
      </c>
      <c r="M15" s="14">
        <f>L15*$G$25*RiskFactors!$C$24</f>
        <v>233.84628325664463</v>
      </c>
      <c r="U15" s="11">
        <f t="shared" si="2"/>
        <v>1</v>
      </c>
      <c r="V15" s="11">
        <f t="shared" si="3"/>
        <v>1</v>
      </c>
      <c r="X15" s="12">
        <f t="shared" si="4"/>
        <v>1.9653323307681479E-3</v>
      </c>
      <c r="Y15" s="12">
        <f t="shared" si="8"/>
        <v>1.9895066762084016E-3</v>
      </c>
      <c r="Z15" s="12">
        <f t="shared" si="9"/>
        <v>9.6441496415522465E-6</v>
      </c>
    </row>
    <row r="16" spans="2:26" x14ac:dyDescent="0.2">
      <c r="B16" s="21" t="s">
        <v>44</v>
      </c>
      <c r="C16" s="26" t="s">
        <v>64</v>
      </c>
      <c r="D16" s="15"/>
      <c r="F16" s="15">
        <f t="shared" si="0"/>
        <v>9</v>
      </c>
      <c r="G16" s="30">
        <f t="shared" si="1"/>
        <v>120.00009000000003</v>
      </c>
      <c r="H16" s="31">
        <f t="shared" si="5"/>
        <v>0.49922559049385895</v>
      </c>
      <c r="I16" s="17">
        <v>0</v>
      </c>
      <c r="J16" s="16">
        <v>0</v>
      </c>
      <c r="K16" s="15">
        <f t="shared" si="6"/>
        <v>0</v>
      </c>
      <c r="L16" s="15">
        <f t="shared" si="7"/>
        <v>0</v>
      </c>
      <c r="M16" s="14">
        <f>L16*$G$25*RiskFactors!$C$24</f>
        <v>0</v>
      </c>
      <c r="U16" s="11">
        <f t="shared" si="2"/>
        <v>0</v>
      </c>
      <c r="V16" s="11">
        <f t="shared" si="3"/>
        <v>0</v>
      </c>
      <c r="X16" s="12">
        <f t="shared" si="4"/>
        <v>1.9411579833133671E-3</v>
      </c>
      <c r="Y16" s="12">
        <f t="shared" si="8"/>
        <v>1.9653323307681479E-3</v>
      </c>
      <c r="Z16" s="12">
        <f t="shared" si="9"/>
        <v>9.6441509036537809E-6</v>
      </c>
    </row>
    <row r="17" spans="2:26" x14ac:dyDescent="0.2">
      <c r="F17" s="15">
        <f t="shared" si="0"/>
        <v>8</v>
      </c>
      <c r="G17" s="30">
        <f t="shared" si="1"/>
        <v>120.00008000000003</v>
      </c>
      <c r="H17" s="31">
        <f t="shared" si="5"/>
        <v>0.49923523464601871</v>
      </c>
      <c r="I17" s="17">
        <v>0</v>
      </c>
      <c r="J17" s="16">
        <v>0</v>
      </c>
      <c r="K17" s="15">
        <f t="shared" si="6"/>
        <v>0</v>
      </c>
      <c r="L17" s="15">
        <f t="shared" si="7"/>
        <v>0</v>
      </c>
      <c r="M17" s="14">
        <f>L17*$G$25*RiskFactors!$C$24</f>
        <v>0</v>
      </c>
      <c r="U17" s="11">
        <f t="shared" si="2"/>
        <v>0</v>
      </c>
      <c r="V17" s="11">
        <f t="shared" si="3"/>
        <v>0</v>
      </c>
      <c r="X17" s="12">
        <f t="shared" si="4"/>
        <v>1.9169836338440588E-3</v>
      </c>
      <c r="Y17" s="12">
        <f t="shared" si="8"/>
        <v>1.9411579833133671E-3</v>
      </c>
      <c r="Z17" s="12">
        <f t="shared" si="9"/>
        <v>9.644152159760111E-6</v>
      </c>
    </row>
    <row r="18" spans="2:26" x14ac:dyDescent="0.2">
      <c r="F18" s="15">
        <f t="shared" si="0"/>
        <v>7</v>
      </c>
      <c r="G18" s="30">
        <f t="shared" si="1"/>
        <v>120.00007000000002</v>
      </c>
      <c r="H18" s="31">
        <f t="shared" si="5"/>
        <v>0.49924487879945478</v>
      </c>
      <c r="I18" s="17">
        <v>0</v>
      </c>
      <c r="J18" s="16">
        <v>0</v>
      </c>
      <c r="K18" s="15">
        <f t="shared" si="6"/>
        <v>0</v>
      </c>
      <c r="L18" s="15">
        <f t="shared" si="7"/>
        <v>0</v>
      </c>
      <c r="M18" s="14">
        <f>L18*$G$25*RiskFactors!$C$24</f>
        <v>0</v>
      </c>
      <c r="U18" s="11">
        <f t="shared" si="2"/>
        <v>0</v>
      </c>
      <c r="V18" s="11">
        <f t="shared" si="3"/>
        <v>0</v>
      </c>
      <c r="X18" s="12">
        <f t="shared" si="4"/>
        <v>1.892809282295809E-3</v>
      </c>
      <c r="Y18" s="12">
        <f t="shared" si="8"/>
        <v>1.9169836338440588E-3</v>
      </c>
      <c r="Z18" s="12">
        <f t="shared" si="9"/>
        <v>9.6441534360725001E-6</v>
      </c>
    </row>
    <row r="19" spans="2:26" x14ac:dyDescent="0.2">
      <c r="B19" s="5" t="s">
        <v>43</v>
      </c>
      <c r="C19" s="4"/>
      <c r="D19" s="5"/>
      <c r="F19" s="15">
        <f t="shared" si="0"/>
        <v>6</v>
      </c>
      <c r="G19" s="30">
        <f t="shared" si="1"/>
        <v>120.00006000000002</v>
      </c>
      <c r="H19" s="31">
        <f t="shared" si="5"/>
        <v>0.4992545229541101</v>
      </c>
      <c r="I19" s="17">
        <v>0</v>
      </c>
      <c r="J19" s="16">
        <v>0</v>
      </c>
      <c r="K19" s="15">
        <f t="shared" si="6"/>
        <v>0</v>
      </c>
      <c r="L19" s="15">
        <f t="shared" si="7"/>
        <v>0</v>
      </c>
      <c r="M19" s="14">
        <f>L19*$G$25*RiskFactors!$C$24</f>
        <v>0</v>
      </c>
      <c r="U19" s="11">
        <f t="shared" si="2"/>
        <v>0</v>
      </c>
      <c r="V19" s="11">
        <f t="shared" si="3"/>
        <v>0</v>
      </c>
      <c r="X19" s="12">
        <f t="shared" si="4"/>
        <v>1.8686349287974446E-3</v>
      </c>
      <c r="Y19" s="12">
        <f t="shared" si="8"/>
        <v>1.892809282295809E-3</v>
      </c>
      <c r="Z19" s="12">
        <f t="shared" si="9"/>
        <v>9.6441546553194257E-6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 t="shared" si="0"/>
        <v>5</v>
      </c>
      <c r="G20" s="30">
        <f t="shared" si="1"/>
        <v>120.00005000000002</v>
      </c>
      <c r="H20" s="31">
        <f t="shared" si="5"/>
        <v>0.49926416711000488</v>
      </c>
      <c r="I20" s="17">
        <v>0</v>
      </c>
      <c r="J20" s="16">
        <v>0</v>
      </c>
      <c r="K20" s="15">
        <f t="shared" si="6"/>
        <v>0</v>
      </c>
      <c r="L20" s="15">
        <f t="shared" si="7"/>
        <v>0</v>
      </c>
      <c r="M20" s="14">
        <f>L20*$G$25*RiskFactors!$C$24</f>
        <v>0</v>
      </c>
      <c r="U20" s="11">
        <f t="shared" si="2"/>
        <v>0</v>
      </c>
      <c r="V20" s="11">
        <f t="shared" si="3"/>
        <v>0</v>
      </c>
      <c r="X20" s="12">
        <f t="shared" si="4"/>
        <v>1.8444605732845516E-3</v>
      </c>
      <c r="Y20" s="12">
        <f t="shared" si="8"/>
        <v>1.8686349287974446E-3</v>
      </c>
      <c r="Z20" s="12">
        <f t="shared" si="9"/>
        <v>9.6441558947724104E-6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 t="shared" si="0"/>
        <v>4</v>
      </c>
      <c r="G21" s="30">
        <f t="shared" si="1"/>
        <v>120.00004000000001</v>
      </c>
      <c r="H21" s="31">
        <f t="shared" si="5"/>
        <v>0.49927381126713333</v>
      </c>
      <c r="I21" s="17">
        <v>0</v>
      </c>
      <c r="J21" s="16">
        <v>0</v>
      </c>
      <c r="K21" s="15">
        <f t="shared" si="6"/>
        <v>0</v>
      </c>
      <c r="L21" s="15">
        <f t="shared" si="7"/>
        <v>0</v>
      </c>
      <c r="M21" s="14">
        <f>L21*$G$25*RiskFactors!$C$24</f>
        <v>0</v>
      </c>
      <c r="U21" s="11">
        <f t="shared" si="2"/>
        <v>0</v>
      </c>
      <c r="V21" s="11">
        <f t="shared" si="3"/>
        <v>0</v>
      </c>
      <c r="X21" s="12">
        <f t="shared" si="4"/>
        <v>1.8202862157571296E-3</v>
      </c>
      <c r="Y21" s="12">
        <f t="shared" si="8"/>
        <v>1.8444605732845516E-3</v>
      </c>
      <c r="Z21" s="12">
        <f t="shared" si="9"/>
        <v>9.6441571284522354E-6</v>
      </c>
    </row>
    <row r="22" spans="2:26" x14ac:dyDescent="0.2">
      <c r="B22" s="15" t="s">
        <v>39</v>
      </c>
      <c r="C22" s="20">
        <f>SUMPRODUCT(G3:G33,H3:H33,I3:I33)</f>
        <v>0</v>
      </c>
      <c r="D22" s="15" t="str">
        <f>$C$15&amp;"-siskas"</f>
        <v>USD-siskas</v>
      </c>
      <c r="F22" s="15">
        <f t="shared" si="0"/>
        <v>3</v>
      </c>
      <c r="G22" s="30">
        <f t="shared" si="1"/>
        <v>120.00003000000001</v>
      </c>
      <c r="H22" s="31">
        <f t="shared" si="5"/>
        <v>0.49928345542548969</v>
      </c>
      <c r="I22" s="17">
        <v>0</v>
      </c>
      <c r="J22" s="16">
        <v>0</v>
      </c>
      <c r="K22" s="15">
        <f t="shared" si="6"/>
        <v>0</v>
      </c>
      <c r="L22" s="15">
        <f t="shared" si="7"/>
        <v>0</v>
      </c>
      <c r="M22" s="14">
        <f>L22*$G$25*RiskFactors!$C$24</f>
        <v>0</v>
      </c>
      <c r="U22" s="11">
        <f t="shared" si="2"/>
        <v>0</v>
      </c>
      <c r="V22" s="11">
        <f t="shared" si="3"/>
        <v>0</v>
      </c>
      <c r="X22" s="12">
        <f t="shared" si="4"/>
        <v>1.7961118562151786E-3</v>
      </c>
      <c r="Y22" s="12">
        <f t="shared" si="8"/>
        <v>1.8202862157571296E-3</v>
      </c>
      <c r="Z22" s="12">
        <f t="shared" si="9"/>
        <v>9.6441583563589006E-6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 t="shared" si="0"/>
        <v>2</v>
      </c>
      <c r="G23" s="30">
        <f t="shared" si="1"/>
        <v>120.00002000000001</v>
      </c>
      <c r="H23" s="31">
        <f t="shared" si="5"/>
        <v>0.49929309958506862</v>
      </c>
      <c r="I23" s="17">
        <v>0</v>
      </c>
      <c r="J23" s="16">
        <v>0</v>
      </c>
      <c r="K23" s="15">
        <f t="shared" si="6"/>
        <v>0</v>
      </c>
      <c r="L23" s="15">
        <f t="shared" si="7"/>
        <v>0</v>
      </c>
      <c r="M23" s="14">
        <f>L23*$G$25*RiskFactors!$C$24</f>
        <v>0</v>
      </c>
      <c r="U23" s="11">
        <f t="shared" si="2"/>
        <v>0</v>
      </c>
      <c r="V23" s="11">
        <f t="shared" si="3"/>
        <v>0</v>
      </c>
      <c r="X23" s="12">
        <f t="shared" si="4"/>
        <v>1.771937494658698E-3</v>
      </c>
      <c r="Y23" s="12">
        <f t="shared" si="8"/>
        <v>1.7961118562151786E-3</v>
      </c>
      <c r="Z23" s="12">
        <f t="shared" si="9"/>
        <v>9.6441595789364953E-6</v>
      </c>
    </row>
    <row r="24" spans="2:26" x14ac:dyDescent="0.2">
      <c r="B24" s="15" t="s">
        <v>37</v>
      </c>
      <c r="C24" s="20">
        <f>MAX(C21-C22,0)</f>
        <v>10000</v>
      </c>
      <c r="D24" s="15" t="str">
        <f>$C$15&amp;"-siskas"</f>
        <v>USD-siskas</v>
      </c>
      <c r="F24" s="15">
        <v>1</v>
      </c>
      <c r="G24" s="30">
        <f t="shared" si="1"/>
        <v>120.00001</v>
      </c>
      <c r="H24" s="31">
        <f t="shared" si="5"/>
        <v>0.49930274374586436</v>
      </c>
      <c r="I24" s="17">
        <v>0</v>
      </c>
      <c r="J24" s="16">
        <v>0</v>
      </c>
      <c r="K24" s="15">
        <f t="shared" si="6"/>
        <v>0</v>
      </c>
      <c r="L24" s="15">
        <f t="shared" si="7"/>
        <v>0</v>
      </c>
      <c r="M24" s="14">
        <f>L24*$G$25*RiskFactors!$C$24</f>
        <v>0</v>
      </c>
      <c r="U24" s="11">
        <f t="shared" si="2"/>
        <v>0</v>
      </c>
      <c r="V24" s="11">
        <f t="shared" si="3"/>
        <v>0</v>
      </c>
      <c r="X24" s="25">
        <f t="shared" si="4"/>
        <v>1.7477631310876874E-3</v>
      </c>
      <c r="Y24" s="12">
        <f t="shared" si="8"/>
        <v>1.771937494658698E-3</v>
      </c>
      <c r="Z24" s="12">
        <f t="shared" si="9"/>
        <v>9.6441607957409303E-6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 t="shared" si="4"/>
        <v>1.7235887655021468E-3</v>
      </c>
      <c r="Y25" s="22">
        <f t="shared" si="8"/>
        <v>1.7477631310876874E-3</v>
      </c>
      <c r="Z25" s="22">
        <f t="shared" si="9"/>
        <v>9.6441620067722056E-6</v>
      </c>
    </row>
    <row r="26" spans="2:26" x14ac:dyDescent="0.2">
      <c r="B26" s="15" t="s">
        <v>30</v>
      </c>
      <c r="C26" s="15">
        <f>SUM(U3:U33)</f>
        <v>1</v>
      </c>
      <c r="D26" s="21" t="s">
        <v>28</v>
      </c>
      <c r="F26" s="15">
        <f>1</f>
        <v>1</v>
      </c>
      <c r="G26" s="30">
        <f t="shared" ref="G26:G45" si="10">G25-$C$14</f>
        <v>119.99999</v>
      </c>
      <c r="H26" s="31">
        <f t="shared" ref="H26:H45" si="11">_xlfn.NORM.DIST(X26,0,1,TRUE)</f>
        <v>0.50067796792891639</v>
      </c>
      <c r="I26" s="17">
        <v>0</v>
      </c>
      <c r="J26" s="16">
        <v>0</v>
      </c>
      <c r="K26" s="15">
        <f t="shared" ref="K26:K45" si="12">IF(H26&lt;0.0000000001,0,CEILING($C$25*V26/H26/G26,1))</f>
        <v>0</v>
      </c>
      <c r="L26" s="15">
        <f t="shared" ref="L26:L45" si="13">K26+I26</f>
        <v>0</v>
      </c>
      <c r="M26" s="14">
        <f>L26*$G$25*RiskFactors!$C$25</f>
        <v>0</v>
      </c>
      <c r="U26" s="11">
        <f t="shared" ref="U26:U45" si="14">IF(H26&lt;0.0000000001,0,J26)</f>
        <v>0</v>
      </c>
      <c r="V26" s="11">
        <f t="shared" ref="V26:V45" si="15">IF(H26&lt;0.0000000001,0,J26/$C$27)</f>
        <v>0</v>
      </c>
      <c r="X26" s="12">
        <f t="shared" si="4"/>
        <v>1.6994143979020754E-3</v>
      </c>
      <c r="Y26" s="12">
        <f t="shared" si="8"/>
        <v>1.7235887655021468E-3</v>
      </c>
      <c r="Z26" s="12">
        <f t="shared" si="9"/>
        <v>9.6441632124744103E-6</v>
      </c>
    </row>
    <row r="27" spans="2:26" x14ac:dyDescent="0.2">
      <c r="B27" s="15" t="s">
        <v>29</v>
      </c>
      <c r="C27" s="15">
        <f>SUM(U26:U177)</f>
        <v>1</v>
      </c>
      <c r="D27" s="21" t="s">
        <v>28</v>
      </c>
      <c r="F27" s="15">
        <f t="shared" ref="F27:F45" si="16">1+F26</f>
        <v>2</v>
      </c>
      <c r="G27" s="30">
        <f t="shared" si="10"/>
        <v>119.99997999999999</v>
      </c>
      <c r="H27" s="31">
        <f t="shared" si="11"/>
        <v>0.50066832376450421</v>
      </c>
      <c r="I27" s="17">
        <v>0</v>
      </c>
      <c r="J27" s="16">
        <v>0</v>
      </c>
      <c r="K27" s="15">
        <f t="shared" si="12"/>
        <v>0</v>
      </c>
      <c r="L27" s="15">
        <f t="shared" si="13"/>
        <v>0</v>
      </c>
      <c r="M27" s="14">
        <f>L27*$G$25*RiskFactors!$C$25</f>
        <v>0</v>
      </c>
      <c r="U27" s="11">
        <f t="shared" si="14"/>
        <v>0</v>
      </c>
      <c r="V27" s="11">
        <f t="shared" si="15"/>
        <v>0</v>
      </c>
      <c r="X27" s="12">
        <f t="shared" si="4"/>
        <v>1.6752400282874732E-3</v>
      </c>
      <c r="Y27" s="12">
        <f t="shared" si="8"/>
        <v>1.6994143979020754E-3</v>
      </c>
      <c r="Z27" s="12">
        <f t="shared" si="9"/>
        <v>9.6441644121814107E-6</v>
      </c>
    </row>
    <row r="28" spans="2:26" x14ac:dyDescent="0.2">
      <c r="B28" s="15" t="s">
        <v>27</v>
      </c>
      <c r="C28" s="20">
        <f>SUMPRODUCT(G3:G33,H3:H33,L3:L33)</f>
        <v>10004.295901619131</v>
      </c>
      <c r="D28" s="19" t="s">
        <v>25</v>
      </c>
      <c r="F28" s="15">
        <f t="shared" si="16"/>
        <v>3</v>
      </c>
      <c r="G28" s="30">
        <f t="shared" si="10"/>
        <v>119.99996999999999</v>
      </c>
      <c r="H28" s="31">
        <f t="shared" si="11"/>
        <v>0.50065867959889765</v>
      </c>
      <c r="I28" s="17">
        <v>0</v>
      </c>
      <c r="J28" s="16">
        <v>0</v>
      </c>
      <c r="K28" s="15">
        <f t="shared" si="12"/>
        <v>0</v>
      </c>
      <c r="L28" s="15">
        <f t="shared" si="13"/>
        <v>0</v>
      </c>
      <c r="M28" s="14">
        <f>L28*$G$25*RiskFactors!$C$25</f>
        <v>0</v>
      </c>
      <c r="U28" s="11">
        <f t="shared" si="14"/>
        <v>0</v>
      </c>
      <c r="V28" s="11">
        <f t="shared" si="15"/>
        <v>0</v>
      </c>
      <c r="X28" s="12">
        <f t="shared" si="4"/>
        <v>1.6510656566583399E-3</v>
      </c>
      <c r="Y28" s="12">
        <f t="shared" si="8"/>
        <v>1.6752400282874732E-3</v>
      </c>
      <c r="Z28" s="12">
        <f t="shared" si="9"/>
        <v>9.6441656065593406E-6</v>
      </c>
    </row>
    <row r="29" spans="2:26" x14ac:dyDescent="0.2">
      <c r="B29" s="15" t="s">
        <v>26</v>
      </c>
      <c r="C29" s="20">
        <f>SUMPRODUCT(G26:G177,H26:H177,L26:L177)</f>
        <v>10031.838695077195</v>
      </c>
      <c r="D29" s="19" t="s">
        <v>25</v>
      </c>
      <c r="F29" s="15">
        <f t="shared" si="16"/>
        <v>4</v>
      </c>
      <c r="G29" s="30">
        <f t="shared" si="10"/>
        <v>119.99995999999999</v>
      </c>
      <c r="H29" s="31">
        <f t="shared" si="11"/>
        <v>0.50064903543208972</v>
      </c>
      <c r="I29" s="17">
        <v>0</v>
      </c>
      <c r="J29" s="16">
        <v>0</v>
      </c>
      <c r="K29" s="15">
        <f t="shared" si="12"/>
        <v>0</v>
      </c>
      <c r="L29" s="15">
        <f t="shared" si="13"/>
        <v>0</v>
      </c>
      <c r="M29" s="14">
        <f>L29*$G$25*RiskFactors!$C$25</f>
        <v>0</v>
      </c>
      <c r="U29" s="11">
        <f t="shared" si="14"/>
        <v>0</v>
      </c>
      <c r="V29" s="11">
        <f t="shared" si="15"/>
        <v>0</v>
      </c>
      <c r="X29" s="12">
        <f t="shared" si="4"/>
        <v>1.6268912829824683E-3</v>
      </c>
      <c r="Y29" s="12">
        <f t="shared" si="8"/>
        <v>1.6510656566583399E-3</v>
      </c>
      <c r="Z29" s="12">
        <f t="shared" si="9"/>
        <v>9.6441668079316756E-6</v>
      </c>
    </row>
    <row r="30" spans="2:26" x14ac:dyDescent="0.2">
      <c r="F30" s="15">
        <f t="shared" si="16"/>
        <v>5</v>
      </c>
      <c r="G30" s="30">
        <f t="shared" si="10"/>
        <v>119.99994999999998</v>
      </c>
      <c r="H30" s="31">
        <f t="shared" si="11"/>
        <v>0.50063939126411161</v>
      </c>
      <c r="I30" s="17">
        <v>0</v>
      </c>
      <c r="J30" s="16">
        <v>0</v>
      </c>
      <c r="K30" s="15">
        <f t="shared" si="12"/>
        <v>0</v>
      </c>
      <c r="L30" s="15">
        <f t="shared" si="13"/>
        <v>0</v>
      </c>
      <c r="M30" s="14">
        <f>L30*$G$25*RiskFactors!$C$25</f>
        <v>0</v>
      </c>
      <c r="U30" s="11">
        <f t="shared" si="14"/>
        <v>0</v>
      </c>
      <c r="V30" s="11">
        <f t="shared" si="15"/>
        <v>0</v>
      </c>
      <c r="X30" s="12">
        <f t="shared" si="4"/>
        <v>1.6027169073242714E-3</v>
      </c>
      <c r="Y30" s="12">
        <f t="shared" si="8"/>
        <v>1.6268912829824683E-3</v>
      </c>
      <c r="Z30" s="12">
        <f t="shared" si="9"/>
        <v>9.6441679781067435E-6</v>
      </c>
    </row>
    <row r="31" spans="2:26" x14ac:dyDescent="0.2">
      <c r="B31" s="5" t="s">
        <v>24</v>
      </c>
      <c r="C31" s="4"/>
      <c r="D31" s="5"/>
      <c r="F31" s="15">
        <f t="shared" si="16"/>
        <v>6</v>
      </c>
      <c r="G31" s="30">
        <f t="shared" si="10"/>
        <v>119.99993999999998</v>
      </c>
      <c r="H31" s="31">
        <f t="shared" si="11"/>
        <v>0.50062974709495622</v>
      </c>
      <c r="I31" s="17">
        <v>0</v>
      </c>
      <c r="J31" s="16">
        <v>0</v>
      </c>
      <c r="K31" s="15">
        <f t="shared" si="12"/>
        <v>0</v>
      </c>
      <c r="L31" s="15">
        <f t="shared" si="13"/>
        <v>0</v>
      </c>
      <c r="M31" s="14">
        <f>L31*$G$25*RiskFactors!$C$25</f>
        <v>0</v>
      </c>
      <c r="U31" s="11">
        <f t="shared" si="14"/>
        <v>0</v>
      </c>
      <c r="V31" s="11">
        <f t="shared" si="15"/>
        <v>0</v>
      </c>
      <c r="X31" s="12">
        <f t="shared" si="4"/>
        <v>1.5785425296515423E-3</v>
      </c>
      <c r="Y31" s="12">
        <f t="shared" si="8"/>
        <v>1.6027169073242714E-3</v>
      </c>
      <c r="Z31" s="12">
        <f t="shared" si="9"/>
        <v>9.6441691553872388E-6</v>
      </c>
    </row>
    <row r="32" spans="2:26" x14ac:dyDescent="0.2">
      <c r="B32" s="15" t="s">
        <v>23</v>
      </c>
      <c r="C32" s="18">
        <f>SUM(M3:M33)</f>
        <v>233.84628325664463</v>
      </c>
      <c r="D32" s="15" t="str">
        <f>C15</f>
        <v>USD</v>
      </c>
      <c r="F32" s="15">
        <f t="shared" si="16"/>
        <v>7</v>
      </c>
      <c r="G32" s="30">
        <f t="shared" si="10"/>
        <v>119.99992999999998</v>
      </c>
      <c r="H32" s="31">
        <f t="shared" si="11"/>
        <v>0.50062010292462911</v>
      </c>
      <c r="I32" s="17">
        <v>0</v>
      </c>
      <c r="J32" s="16">
        <v>0</v>
      </c>
      <c r="K32" s="15">
        <f t="shared" si="12"/>
        <v>0</v>
      </c>
      <c r="L32" s="15">
        <f t="shared" si="13"/>
        <v>0</v>
      </c>
      <c r="M32" s="14">
        <f>L32*$G$25*RiskFactors!$C$25</f>
        <v>0</v>
      </c>
      <c r="U32" s="11">
        <f t="shared" si="14"/>
        <v>0</v>
      </c>
      <c r="V32" s="11">
        <f t="shared" si="15"/>
        <v>0</v>
      </c>
      <c r="X32" s="12">
        <f t="shared" si="4"/>
        <v>1.5543681499642806E-3</v>
      </c>
      <c r="Y32" s="12">
        <f t="shared" si="8"/>
        <v>1.5785425296515423E-3</v>
      </c>
      <c r="Z32" s="12">
        <f t="shared" si="9"/>
        <v>9.644170327116619E-6</v>
      </c>
    </row>
    <row r="33" spans="2:26" x14ac:dyDescent="0.2">
      <c r="B33" s="15" t="s">
        <v>22</v>
      </c>
      <c r="C33" s="18">
        <f>SUM(M26:M177)</f>
        <v>699.36888308002551</v>
      </c>
      <c r="D33" s="15" t="str">
        <f>C15</f>
        <v>USD</v>
      </c>
      <c r="F33" s="15">
        <f t="shared" si="16"/>
        <v>8</v>
      </c>
      <c r="G33" s="30">
        <f t="shared" si="10"/>
        <v>119.99991999999997</v>
      </c>
      <c r="H33" s="31">
        <f t="shared" si="11"/>
        <v>0.50061045875313592</v>
      </c>
      <c r="I33" s="17">
        <v>0</v>
      </c>
      <c r="J33" s="16">
        <v>0</v>
      </c>
      <c r="K33" s="15">
        <f t="shared" si="12"/>
        <v>0</v>
      </c>
      <c r="L33" s="15">
        <f t="shared" si="13"/>
        <v>0</v>
      </c>
      <c r="M33" s="14">
        <f>L33*$G$25*RiskFactors!$C$25</f>
        <v>0</v>
      </c>
      <c r="U33" s="11">
        <f t="shared" si="14"/>
        <v>0</v>
      </c>
      <c r="V33" s="11">
        <f t="shared" si="15"/>
        <v>0</v>
      </c>
      <c r="X33" s="12">
        <f t="shared" si="4"/>
        <v>1.5301937682624862E-3</v>
      </c>
      <c r="Y33" s="12">
        <f t="shared" si="8"/>
        <v>1.5543681499642806E-3</v>
      </c>
      <c r="Z33" s="12">
        <f t="shared" si="9"/>
        <v>9.6441714931838618E-6</v>
      </c>
    </row>
    <row r="34" spans="2:26" x14ac:dyDescent="0.2">
      <c r="F34" s="15">
        <f t="shared" si="16"/>
        <v>9</v>
      </c>
      <c r="G34" s="30">
        <f t="shared" si="10"/>
        <v>119.99990999999997</v>
      </c>
      <c r="H34" s="31">
        <f t="shared" si="11"/>
        <v>0.50060081458048222</v>
      </c>
      <c r="I34" s="17">
        <v>0</v>
      </c>
      <c r="J34" s="16">
        <v>0</v>
      </c>
      <c r="K34" s="15">
        <f t="shared" si="12"/>
        <v>0</v>
      </c>
      <c r="L34" s="15">
        <f t="shared" si="13"/>
        <v>0</v>
      </c>
      <c r="M34" s="14">
        <f>L34*$G$25*RiskFactors!$C$25</f>
        <v>0</v>
      </c>
      <c r="U34" s="11">
        <f t="shared" si="14"/>
        <v>0</v>
      </c>
      <c r="V34" s="11">
        <f t="shared" si="15"/>
        <v>0</v>
      </c>
      <c r="X34" s="12">
        <f t="shared" si="4"/>
        <v>1.5060193845461585E-3</v>
      </c>
      <c r="Y34" s="12">
        <f t="shared" si="8"/>
        <v>1.5301937682624862E-3</v>
      </c>
      <c r="Z34" s="12">
        <f t="shared" si="9"/>
        <v>9.6441726536999894E-6</v>
      </c>
    </row>
    <row r="35" spans="2:26" x14ac:dyDescent="0.2">
      <c r="B35" s="5" t="s">
        <v>21</v>
      </c>
      <c r="C35" s="4"/>
      <c r="D35" s="5"/>
      <c r="F35" s="15">
        <f t="shared" si="16"/>
        <v>10</v>
      </c>
      <c r="G35" s="30">
        <f t="shared" si="10"/>
        <v>119.99989999999997</v>
      </c>
      <c r="H35" s="31">
        <f t="shared" si="11"/>
        <v>0.50059117040667378</v>
      </c>
      <c r="I35" s="17">
        <v>0</v>
      </c>
      <c r="J35" s="16">
        <v>1</v>
      </c>
      <c r="K35" s="15">
        <f t="shared" si="12"/>
        <v>167</v>
      </c>
      <c r="L35" s="15">
        <f t="shared" si="13"/>
        <v>167</v>
      </c>
      <c r="M35" s="14">
        <f>L35*$G$25*RiskFactors!$C$25</f>
        <v>231.36844145447154</v>
      </c>
      <c r="U35" s="11">
        <f t="shared" si="14"/>
        <v>1</v>
      </c>
      <c r="V35" s="11">
        <f t="shared" si="15"/>
        <v>1</v>
      </c>
      <c r="X35" s="12">
        <f t="shared" si="4"/>
        <v>1.4818449988152969E-3</v>
      </c>
      <c r="Y35" s="12">
        <f t="shared" si="8"/>
        <v>1.5060193845461585E-3</v>
      </c>
      <c r="Z35" s="12">
        <f t="shared" si="9"/>
        <v>9.6441738084429574E-6</v>
      </c>
    </row>
    <row r="36" spans="2:26" x14ac:dyDescent="0.2">
      <c r="B36" s="15" t="s">
        <v>20</v>
      </c>
      <c r="C36" s="14">
        <f>C20+SUM(C32:C33)</f>
        <v>10933.215166336669</v>
      </c>
      <c r="D36" s="15" t="str">
        <f>C15</f>
        <v>USD</v>
      </c>
      <c r="F36" s="15">
        <f t="shared" si="16"/>
        <v>11</v>
      </c>
      <c r="G36" s="30">
        <f t="shared" si="10"/>
        <v>119.99988999999997</v>
      </c>
      <c r="H36" s="31">
        <f t="shared" si="11"/>
        <v>0.50058152623171615</v>
      </c>
      <c r="I36" s="17">
        <v>0</v>
      </c>
      <c r="J36" s="16">
        <v>0</v>
      </c>
      <c r="K36" s="15">
        <f t="shared" si="12"/>
        <v>0</v>
      </c>
      <c r="L36" s="15">
        <f t="shared" si="13"/>
        <v>0</v>
      </c>
      <c r="M36" s="14">
        <f>L36*$G$25*RiskFactors!$C$25</f>
        <v>0</v>
      </c>
      <c r="U36" s="11">
        <f t="shared" si="14"/>
        <v>0</v>
      </c>
      <c r="V36" s="11">
        <f t="shared" si="15"/>
        <v>0</v>
      </c>
      <c r="X36" s="12">
        <f t="shared" si="4"/>
        <v>1.4576706110699018E-3</v>
      </c>
      <c r="Y36" s="12">
        <f t="shared" si="8"/>
        <v>1.4818449988152969E-3</v>
      </c>
      <c r="Z36" s="12">
        <f t="shared" si="9"/>
        <v>9.6441749576348101E-6</v>
      </c>
    </row>
    <row r="37" spans="2:26" x14ac:dyDescent="0.2">
      <c r="F37" s="15">
        <f t="shared" si="16"/>
        <v>12</v>
      </c>
      <c r="G37" s="30">
        <f t="shared" si="10"/>
        <v>119.99987999999996</v>
      </c>
      <c r="H37" s="31">
        <f t="shared" si="11"/>
        <v>0.50057188205560221</v>
      </c>
      <c r="I37" s="17">
        <v>0</v>
      </c>
      <c r="J37" s="16">
        <v>0</v>
      </c>
      <c r="K37" s="15">
        <f t="shared" si="12"/>
        <v>0</v>
      </c>
      <c r="L37" s="15">
        <f t="shared" si="13"/>
        <v>0</v>
      </c>
      <c r="M37" s="14">
        <f>L37*$G$25*RiskFactors!$C$25</f>
        <v>0</v>
      </c>
      <c r="U37" s="11">
        <f t="shared" si="14"/>
        <v>0</v>
      </c>
      <c r="V37" s="11">
        <f t="shared" si="15"/>
        <v>0</v>
      </c>
      <c r="X37" s="12">
        <f t="shared" si="4"/>
        <v>1.4334962212777657E-3</v>
      </c>
      <c r="Y37" s="12">
        <f t="shared" si="8"/>
        <v>1.4576706110699018E-3</v>
      </c>
      <c r="Z37" s="12">
        <f t="shared" si="9"/>
        <v>9.6441761139320903E-6</v>
      </c>
    </row>
    <row r="38" spans="2:26" x14ac:dyDescent="0.2">
      <c r="F38" s="15">
        <f t="shared" si="16"/>
        <v>13</v>
      </c>
      <c r="G38" s="30">
        <f t="shared" si="10"/>
        <v>119.99986999999996</v>
      </c>
      <c r="H38" s="31">
        <f t="shared" si="11"/>
        <v>0.50056223787836318</v>
      </c>
      <c r="I38" s="17">
        <v>0</v>
      </c>
      <c r="J38" s="16">
        <v>0</v>
      </c>
      <c r="K38" s="15">
        <f t="shared" si="12"/>
        <v>0</v>
      </c>
      <c r="L38" s="15">
        <f t="shared" si="13"/>
        <v>0</v>
      </c>
      <c r="M38" s="14">
        <f>L38*$G$25*RiskFactors!$C$25</f>
        <v>0</v>
      </c>
      <c r="U38" s="11">
        <f t="shared" si="14"/>
        <v>0</v>
      </c>
      <c r="V38" s="11">
        <f t="shared" si="15"/>
        <v>0</v>
      </c>
      <c r="X38" s="12">
        <f t="shared" si="4"/>
        <v>1.4093218295033014E-3</v>
      </c>
      <c r="Y38" s="12">
        <f t="shared" si="8"/>
        <v>1.4334962212777657E-3</v>
      </c>
      <c r="Z38" s="12">
        <f t="shared" si="9"/>
        <v>9.6441772390321034E-6</v>
      </c>
    </row>
    <row r="39" spans="2:26" x14ac:dyDescent="0.2">
      <c r="F39" s="15">
        <f t="shared" si="16"/>
        <v>14</v>
      </c>
      <c r="G39" s="30">
        <f t="shared" si="10"/>
        <v>119.99985999999996</v>
      </c>
      <c r="H39" s="31">
        <f t="shared" si="11"/>
        <v>0.50055259369999194</v>
      </c>
      <c r="I39" s="17">
        <v>0</v>
      </c>
      <c r="J39" s="16">
        <v>0</v>
      </c>
      <c r="K39" s="15">
        <f t="shared" si="12"/>
        <v>0</v>
      </c>
      <c r="L39" s="15">
        <f t="shared" si="13"/>
        <v>0</v>
      </c>
      <c r="M39" s="14">
        <f>L39*$G$25*RiskFactors!$C$25</f>
        <v>0</v>
      </c>
      <c r="U39" s="11">
        <f t="shared" si="14"/>
        <v>0</v>
      </c>
      <c r="V39" s="11">
        <f t="shared" si="15"/>
        <v>0</v>
      </c>
      <c r="X39" s="12">
        <f t="shared" si="4"/>
        <v>1.3851474357143023E-3</v>
      </c>
      <c r="Y39" s="12">
        <f t="shared" si="8"/>
        <v>1.4093218295033014E-3</v>
      </c>
      <c r="Z39" s="12">
        <f t="shared" si="9"/>
        <v>9.644178371237544E-6</v>
      </c>
    </row>
    <row r="40" spans="2:26" x14ac:dyDescent="0.2">
      <c r="F40" s="15">
        <f t="shared" si="16"/>
        <v>15</v>
      </c>
      <c r="G40" s="30">
        <f t="shared" si="10"/>
        <v>119.99984999999995</v>
      </c>
      <c r="H40" s="31">
        <f t="shared" si="11"/>
        <v>0.50054294952049405</v>
      </c>
      <c r="I40" s="17">
        <v>0</v>
      </c>
      <c r="J40" s="16">
        <v>0</v>
      </c>
      <c r="K40" s="15">
        <f t="shared" si="12"/>
        <v>0</v>
      </c>
      <c r="L40" s="15">
        <f t="shared" si="13"/>
        <v>0</v>
      </c>
      <c r="M40" s="14">
        <f>L40*$G$25*RiskFactors!$C$25</f>
        <v>0</v>
      </c>
      <c r="U40" s="11">
        <f t="shared" si="14"/>
        <v>0</v>
      </c>
      <c r="V40" s="11">
        <f t="shared" si="15"/>
        <v>0</v>
      </c>
      <c r="X40" s="12">
        <f t="shared" si="4"/>
        <v>1.3609730399107682E-3</v>
      </c>
      <c r="Y40" s="12">
        <f t="shared" si="8"/>
        <v>1.3851474357143023E-3</v>
      </c>
      <c r="Z40" s="12">
        <f t="shared" si="9"/>
        <v>9.6441794978918693E-6</v>
      </c>
    </row>
    <row r="41" spans="2:26" x14ac:dyDescent="0.2">
      <c r="F41" s="15">
        <f t="shared" si="16"/>
        <v>16</v>
      </c>
      <c r="G41" s="30">
        <f t="shared" si="10"/>
        <v>119.99983999999995</v>
      </c>
      <c r="H41" s="31">
        <f t="shared" si="11"/>
        <v>0.50053330533987517</v>
      </c>
      <c r="I41" s="17">
        <v>0</v>
      </c>
      <c r="J41" s="16">
        <v>0</v>
      </c>
      <c r="K41" s="15">
        <f t="shared" si="12"/>
        <v>0</v>
      </c>
      <c r="L41" s="15">
        <f t="shared" si="13"/>
        <v>0</v>
      </c>
      <c r="M41" s="14">
        <f>L41*$G$25*RiskFactors!$C$25</f>
        <v>0</v>
      </c>
      <c r="U41" s="11">
        <f t="shared" si="14"/>
        <v>0</v>
      </c>
      <c r="V41" s="11">
        <f t="shared" si="15"/>
        <v>0</v>
      </c>
      <c r="X41" s="12">
        <f t="shared" si="4"/>
        <v>1.3367986420926984E-3</v>
      </c>
      <c r="Y41" s="12">
        <f t="shared" si="8"/>
        <v>1.3609730399107682E-3</v>
      </c>
      <c r="Z41" s="12">
        <f t="shared" si="9"/>
        <v>9.6441806188840573E-6</v>
      </c>
    </row>
    <row r="42" spans="2:26" x14ac:dyDescent="0.2">
      <c r="F42" s="15">
        <f t="shared" si="16"/>
        <v>17</v>
      </c>
      <c r="G42" s="30">
        <f t="shared" si="10"/>
        <v>119.99982999999995</v>
      </c>
      <c r="H42" s="31">
        <f t="shared" si="11"/>
        <v>0.50052366115814095</v>
      </c>
      <c r="I42" s="17">
        <v>0</v>
      </c>
      <c r="J42" s="16">
        <v>0</v>
      </c>
      <c r="K42" s="15">
        <f t="shared" si="12"/>
        <v>0</v>
      </c>
      <c r="L42" s="15">
        <f t="shared" si="13"/>
        <v>0</v>
      </c>
      <c r="M42" s="14">
        <f>L42*$G$25*RiskFactors!$C$25</f>
        <v>0</v>
      </c>
      <c r="U42" s="11">
        <f t="shared" si="14"/>
        <v>0</v>
      </c>
      <c r="V42" s="11">
        <f t="shared" si="15"/>
        <v>0</v>
      </c>
      <c r="X42" s="12">
        <f t="shared" si="4"/>
        <v>1.3126242422600925E-3</v>
      </c>
      <c r="Y42" s="12">
        <f t="shared" si="8"/>
        <v>1.3367986420926984E-3</v>
      </c>
      <c r="Z42" s="12">
        <f t="shared" si="9"/>
        <v>9.6441817342141078E-6</v>
      </c>
    </row>
    <row r="43" spans="2:26" x14ac:dyDescent="0.2">
      <c r="F43" s="15">
        <f t="shared" si="16"/>
        <v>18</v>
      </c>
      <c r="G43" s="30">
        <f t="shared" si="10"/>
        <v>119.99981999999994</v>
      </c>
      <c r="H43" s="31">
        <f t="shared" si="11"/>
        <v>0.50051401697529707</v>
      </c>
      <c r="I43" s="17">
        <v>0</v>
      </c>
      <c r="J43" s="16">
        <v>0</v>
      </c>
      <c r="K43" s="15">
        <f t="shared" si="12"/>
        <v>0</v>
      </c>
      <c r="L43" s="15">
        <f t="shared" si="13"/>
        <v>0</v>
      </c>
      <c r="M43" s="14">
        <f>L43*$G$25*RiskFactors!$C$25</f>
        <v>0</v>
      </c>
      <c r="U43" s="11">
        <f t="shared" si="14"/>
        <v>0</v>
      </c>
      <c r="V43" s="11">
        <f t="shared" si="15"/>
        <v>0</v>
      </c>
      <c r="X43" s="12">
        <f t="shared" si="4"/>
        <v>1.2884498404129507E-3</v>
      </c>
      <c r="Y43" s="12">
        <f t="shared" si="8"/>
        <v>1.3126242422600925E-3</v>
      </c>
      <c r="Z43" s="12">
        <f t="shared" si="9"/>
        <v>9.644182843882021E-6</v>
      </c>
    </row>
    <row r="44" spans="2:26" x14ac:dyDescent="0.2">
      <c r="F44" s="15">
        <f t="shared" si="16"/>
        <v>19</v>
      </c>
      <c r="G44" s="30">
        <f t="shared" si="10"/>
        <v>119.99980999999994</v>
      </c>
      <c r="H44" s="31">
        <f t="shared" si="11"/>
        <v>0.50050437279133608</v>
      </c>
      <c r="I44" s="17">
        <v>0</v>
      </c>
      <c r="J44" s="16">
        <v>0</v>
      </c>
      <c r="K44" s="15">
        <f t="shared" si="12"/>
        <v>0</v>
      </c>
      <c r="L44" s="15">
        <f t="shared" si="13"/>
        <v>0</v>
      </c>
      <c r="M44" s="14">
        <f>L44*$G$25*RiskFactors!$C$25</f>
        <v>0</v>
      </c>
      <c r="U44" s="11">
        <f t="shared" si="14"/>
        <v>0</v>
      </c>
      <c r="V44" s="11">
        <f t="shared" si="15"/>
        <v>0</v>
      </c>
      <c r="X44" s="12">
        <f t="shared" si="4"/>
        <v>1.2642754365190653E-3</v>
      </c>
      <c r="Y44" s="12">
        <f t="shared" si="8"/>
        <v>1.2884498404129507E-3</v>
      </c>
      <c r="Z44" s="12">
        <f t="shared" si="9"/>
        <v>9.6441839609884283E-6</v>
      </c>
    </row>
    <row r="45" spans="2:26" x14ac:dyDescent="0.2">
      <c r="F45" s="15">
        <f t="shared" si="16"/>
        <v>20</v>
      </c>
      <c r="G45" s="30">
        <f t="shared" si="10"/>
        <v>119.99979999999994</v>
      </c>
      <c r="H45" s="31">
        <f t="shared" si="11"/>
        <v>0.50049472860628974</v>
      </c>
      <c r="I45" s="17">
        <v>0</v>
      </c>
      <c r="J45" s="16">
        <v>0</v>
      </c>
      <c r="K45" s="15">
        <f t="shared" si="12"/>
        <v>0</v>
      </c>
      <c r="L45" s="15">
        <f t="shared" si="13"/>
        <v>0</v>
      </c>
      <c r="M45" s="14">
        <f>L45*$G$25*RiskFactors!$C$25</f>
        <v>0</v>
      </c>
      <c r="U45" s="11">
        <f t="shared" si="14"/>
        <v>0</v>
      </c>
      <c r="V45" s="11">
        <f t="shared" si="15"/>
        <v>0</v>
      </c>
      <c r="X45" s="12">
        <f t="shared" si="4"/>
        <v>1.2401010306428498E-3</v>
      </c>
      <c r="Y45" s="12">
        <f t="shared" si="8"/>
        <v>1.2642754365190653E-3</v>
      </c>
      <c r="Z45" s="12">
        <f t="shared" si="9"/>
        <v>9.6441850463424572E-6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 t="shared" ref="F53:F72" si="17">1+F54</f>
        <v>21</v>
      </c>
      <c r="G53" s="30">
        <f t="shared" ref="G53:G73" si="18">G54+$C$14</f>
        <v>120.00021000000007</v>
      </c>
    </row>
    <row r="54" spans="6:13" x14ac:dyDescent="0.2">
      <c r="F54" s="15">
        <f t="shared" si="17"/>
        <v>20</v>
      </c>
      <c r="G54" s="30">
        <f t="shared" si="18"/>
        <v>120.00020000000006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 t="shared" si="17"/>
        <v>19</v>
      </c>
      <c r="G55" s="30">
        <f t="shared" si="18"/>
        <v>120.00019000000006</v>
      </c>
      <c r="I55" s="17">
        <v>0</v>
      </c>
      <c r="L55" s="15">
        <f t="shared" ref="L55:L94" si="19">I55</f>
        <v>0</v>
      </c>
      <c r="M55" s="14">
        <f>L55*$G$25*RiskFactors!$C$24</f>
        <v>0</v>
      </c>
    </row>
    <row r="56" spans="6:13" x14ac:dyDescent="0.2">
      <c r="F56" s="15">
        <f t="shared" si="17"/>
        <v>18</v>
      </c>
      <c r="G56" s="30">
        <f t="shared" si="18"/>
        <v>120.00018000000006</v>
      </c>
      <c r="I56" s="17">
        <v>0</v>
      </c>
      <c r="L56" s="15">
        <f t="shared" si="19"/>
        <v>0</v>
      </c>
      <c r="M56" s="14">
        <f>L56*$G$25*RiskFactors!$C$24</f>
        <v>0</v>
      </c>
    </row>
    <row r="57" spans="6:13" x14ac:dyDescent="0.2">
      <c r="F57" s="15">
        <f t="shared" si="17"/>
        <v>17</v>
      </c>
      <c r="G57" s="30">
        <f t="shared" si="18"/>
        <v>120.00017000000005</v>
      </c>
      <c r="I57" s="17">
        <v>0</v>
      </c>
      <c r="L57" s="15">
        <f t="shared" si="19"/>
        <v>0</v>
      </c>
      <c r="M57" s="14">
        <f>L57*$G$25*RiskFactors!$C$24</f>
        <v>0</v>
      </c>
    </row>
    <row r="58" spans="6:13" x14ac:dyDescent="0.2">
      <c r="F58" s="15">
        <f t="shared" si="17"/>
        <v>16</v>
      </c>
      <c r="G58" s="30">
        <f t="shared" si="18"/>
        <v>120.00016000000005</v>
      </c>
      <c r="I58" s="17">
        <v>0</v>
      </c>
      <c r="L58" s="15">
        <f t="shared" si="19"/>
        <v>0</v>
      </c>
      <c r="M58" s="14">
        <f>L58*$G$25*RiskFactors!$C$24</f>
        <v>0</v>
      </c>
    </row>
    <row r="59" spans="6:13" x14ac:dyDescent="0.2">
      <c r="F59" s="15">
        <f t="shared" si="17"/>
        <v>15</v>
      </c>
      <c r="G59" s="30">
        <f t="shared" si="18"/>
        <v>120.00015000000005</v>
      </c>
      <c r="I59" s="17">
        <v>0</v>
      </c>
      <c r="L59" s="15">
        <f t="shared" si="19"/>
        <v>0</v>
      </c>
      <c r="M59" s="14">
        <f>L59*$G$25*RiskFactors!$C$24</f>
        <v>0</v>
      </c>
    </row>
    <row r="60" spans="6:13" x14ac:dyDescent="0.2">
      <c r="F60" s="15">
        <f t="shared" si="17"/>
        <v>14</v>
      </c>
      <c r="G60" s="30">
        <f t="shared" si="18"/>
        <v>120.00014000000004</v>
      </c>
      <c r="I60" s="17">
        <v>0</v>
      </c>
      <c r="L60" s="15">
        <f t="shared" si="19"/>
        <v>0</v>
      </c>
      <c r="M60" s="14">
        <f>L60*$G$25*RiskFactors!$C$24</f>
        <v>0</v>
      </c>
    </row>
    <row r="61" spans="6:13" x14ac:dyDescent="0.2">
      <c r="F61" s="15">
        <f t="shared" si="17"/>
        <v>13</v>
      </c>
      <c r="G61" s="30">
        <f t="shared" si="18"/>
        <v>120.00013000000004</v>
      </c>
      <c r="I61" s="17">
        <v>0</v>
      </c>
      <c r="L61" s="15">
        <f t="shared" si="19"/>
        <v>0</v>
      </c>
      <c r="M61" s="14">
        <f>L61*$G$25*RiskFactors!$C$24</f>
        <v>0</v>
      </c>
    </row>
    <row r="62" spans="6:13" x14ac:dyDescent="0.2">
      <c r="F62" s="15">
        <f t="shared" si="17"/>
        <v>12</v>
      </c>
      <c r="G62" s="30">
        <f t="shared" si="18"/>
        <v>120.00012000000004</v>
      </c>
      <c r="I62" s="17">
        <v>0</v>
      </c>
      <c r="L62" s="15">
        <f t="shared" si="19"/>
        <v>0</v>
      </c>
      <c r="M62" s="14">
        <f>L62*$G$25*RiskFactors!$C$24</f>
        <v>0</v>
      </c>
    </row>
    <row r="63" spans="6:13" x14ac:dyDescent="0.2">
      <c r="F63" s="15">
        <f t="shared" si="17"/>
        <v>11</v>
      </c>
      <c r="G63" s="30">
        <f t="shared" si="18"/>
        <v>120.00011000000003</v>
      </c>
      <c r="I63" s="17">
        <v>0</v>
      </c>
      <c r="L63" s="15">
        <f t="shared" si="19"/>
        <v>0</v>
      </c>
      <c r="M63" s="14">
        <f>L63*$G$25*RiskFactors!$C$24</f>
        <v>0</v>
      </c>
    </row>
    <row r="64" spans="6:13" x14ac:dyDescent="0.2">
      <c r="F64" s="15">
        <f t="shared" si="17"/>
        <v>10</v>
      </c>
      <c r="G64" s="30">
        <f t="shared" si="18"/>
        <v>120.00010000000003</v>
      </c>
      <c r="I64" s="17">
        <v>167</v>
      </c>
      <c r="L64" s="15">
        <f t="shared" si="19"/>
        <v>167</v>
      </c>
      <c r="M64" s="14">
        <f>L64*$G$25*RiskFactors!$C$24</f>
        <v>233.84628325664463</v>
      </c>
    </row>
    <row r="65" spans="5:13" x14ac:dyDescent="0.2">
      <c r="F65" s="15">
        <f t="shared" si="17"/>
        <v>9</v>
      </c>
      <c r="G65" s="30">
        <f t="shared" si="18"/>
        <v>120.00009000000003</v>
      </c>
      <c r="I65" s="17">
        <v>0</v>
      </c>
      <c r="L65" s="15">
        <f t="shared" si="19"/>
        <v>0</v>
      </c>
      <c r="M65" s="14">
        <f>L65*$G$25*RiskFactors!$C$24</f>
        <v>0</v>
      </c>
    </row>
    <row r="66" spans="5:13" x14ac:dyDescent="0.2">
      <c r="F66" s="15">
        <f t="shared" si="17"/>
        <v>8</v>
      </c>
      <c r="G66" s="30">
        <f t="shared" si="18"/>
        <v>120.00008000000003</v>
      </c>
      <c r="I66" s="17">
        <v>0</v>
      </c>
      <c r="L66" s="15">
        <f t="shared" si="19"/>
        <v>0</v>
      </c>
      <c r="M66" s="14">
        <f>L66*$G$25*RiskFactors!$C$24</f>
        <v>0</v>
      </c>
    </row>
    <row r="67" spans="5:13" x14ac:dyDescent="0.2">
      <c r="F67" s="15">
        <f t="shared" si="17"/>
        <v>7</v>
      </c>
      <c r="G67" s="30">
        <f t="shared" si="18"/>
        <v>120.00007000000002</v>
      </c>
      <c r="I67" s="17">
        <v>0</v>
      </c>
      <c r="L67" s="15">
        <f t="shared" si="19"/>
        <v>0</v>
      </c>
      <c r="M67" s="14">
        <f>L67*$G$25*RiskFactors!$C$24</f>
        <v>0</v>
      </c>
    </row>
    <row r="68" spans="5:13" x14ac:dyDescent="0.2">
      <c r="F68" s="15">
        <f t="shared" si="17"/>
        <v>6</v>
      </c>
      <c r="G68" s="30">
        <f t="shared" si="18"/>
        <v>120.00006000000002</v>
      </c>
      <c r="I68" s="17">
        <v>0</v>
      </c>
      <c r="L68" s="15">
        <f t="shared" si="19"/>
        <v>0</v>
      </c>
      <c r="M68" s="14">
        <f>L68*$G$25*RiskFactors!$C$24</f>
        <v>0</v>
      </c>
    </row>
    <row r="69" spans="5:13" x14ac:dyDescent="0.2">
      <c r="F69" s="15">
        <f t="shared" si="17"/>
        <v>5</v>
      </c>
      <c r="G69" s="30">
        <f t="shared" si="18"/>
        <v>120.00005000000002</v>
      </c>
      <c r="I69" s="17">
        <v>0</v>
      </c>
      <c r="L69" s="15">
        <f t="shared" si="19"/>
        <v>0</v>
      </c>
      <c r="M69" s="14">
        <f>L69*$G$25*RiskFactors!$C$24</f>
        <v>0</v>
      </c>
    </row>
    <row r="70" spans="5:13" x14ac:dyDescent="0.2">
      <c r="F70" s="15">
        <f t="shared" si="17"/>
        <v>4</v>
      </c>
      <c r="G70" s="30">
        <f t="shared" si="18"/>
        <v>120.00004000000001</v>
      </c>
      <c r="I70" s="17">
        <v>0</v>
      </c>
      <c r="L70" s="15">
        <f t="shared" si="19"/>
        <v>0</v>
      </c>
      <c r="M70" s="14">
        <f>L70*$G$25*RiskFactors!$C$24</f>
        <v>0</v>
      </c>
    </row>
    <row r="71" spans="5:13" x14ac:dyDescent="0.2">
      <c r="F71" s="15">
        <f t="shared" si="17"/>
        <v>3</v>
      </c>
      <c r="G71" s="30">
        <f t="shared" si="18"/>
        <v>120.00003000000001</v>
      </c>
      <c r="I71" s="17">
        <v>0</v>
      </c>
      <c r="L71" s="15">
        <f t="shared" si="19"/>
        <v>0</v>
      </c>
      <c r="M71" s="14">
        <f>L71*$G$25*RiskFactors!$C$24</f>
        <v>0</v>
      </c>
    </row>
    <row r="72" spans="5:13" x14ac:dyDescent="0.2">
      <c r="F72" s="15">
        <f t="shared" si="17"/>
        <v>2</v>
      </c>
      <c r="G72" s="30">
        <f t="shared" si="18"/>
        <v>120.00002000000001</v>
      </c>
      <c r="I72" s="17">
        <v>0</v>
      </c>
      <c r="L72" s="15">
        <f t="shared" si="19"/>
        <v>0</v>
      </c>
      <c r="M72" s="14">
        <f>L72*$G$25*RiskFactors!$C$24</f>
        <v>0</v>
      </c>
    </row>
    <row r="73" spans="5:13" x14ac:dyDescent="0.2">
      <c r="F73" s="15">
        <v>1</v>
      </c>
      <c r="G73" s="30">
        <f t="shared" si="18"/>
        <v>120.00001</v>
      </c>
      <c r="I73" s="17">
        <v>1</v>
      </c>
      <c r="L73" s="15">
        <f t="shared" si="19"/>
        <v>1</v>
      </c>
      <c r="M73" s="14">
        <f>L73*$G$25*RiskFactors!$C$24</f>
        <v>1.400277145249369</v>
      </c>
    </row>
    <row r="74" spans="5:13" x14ac:dyDescent="0.2">
      <c r="E74" s="24" t="s">
        <v>36</v>
      </c>
      <c r="F74" s="5">
        <v>0</v>
      </c>
      <c r="G74" s="29">
        <f>$C$13</f>
        <v>120</v>
      </c>
      <c r="I74" s="5" t="s">
        <v>67</v>
      </c>
      <c r="L74" s="24" t="str">
        <f t="shared" si="19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 t="shared" ref="G75:G94" si="20">G74-$C$14</f>
        <v>119.99999</v>
      </c>
      <c r="I75" s="17">
        <v>1</v>
      </c>
      <c r="L75" s="15">
        <f t="shared" si="19"/>
        <v>1</v>
      </c>
      <c r="M75" s="14">
        <f>L75*$G$25*RiskFactors!$C$25</f>
        <v>1.3854397691884524</v>
      </c>
    </row>
    <row r="76" spans="5:13" x14ac:dyDescent="0.2">
      <c r="F76" s="15">
        <f t="shared" ref="F76:F94" si="21">1+F75</f>
        <v>2</v>
      </c>
      <c r="G76" s="30">
        <f t="shared" si="20"/>
        <v>119.99997999999999</v>
      </c>
      <c r="I76" s="17">
        <v>0</v>
      </c>
      <c r="L76" s="15">
        <f t="shared" si="19"/>
        <v>0</v>
      </c>
      <c r="M76" s="14">
        <f>L76*$G$25*RiskFactors!$C$25</f>
        <v>0</v>
      </c>
    </row>
    <row r="77" spans="5:13" x14ac:dyDescent="0.2">
      <c r="F77" s="15">
        <f t="shared" si="21"/>
        <v>3</v>
      </c>
      <c r="G77" s="30">
        <f t="shared" si="20"/>
        <v>119.99996999999999</v>
      </c>
      <c r="I77" s="17">
        <v>0</v>
      </c>
      <c r="L77" s="15">
        <f t="shared" si="19"/>
        <v>0</v>
      </c>
      <c r="M77" s="14">
        <f>L77*$G$25*RiskFactors!$C$25</f>
        <v>0</v>
      </c>
    </row>
    <row r="78" spans="5:13" x14ac:dyDescent="0.2">
      <c r="F78" s="15">
        <f t="shared" si="21"/>
        <v>4</v>
      </c>
      <c r="G78" s="30">
        <f t="shared" si="20"/>
        <v>119.99995999999999</v>
      </c>
      <c r="I78" s="17">
        <v>0</v>
      </c>
      <c r="L78" s="15">
        <f t="shared" si="19"/>
        <v>0</v>
      </c>
      <c r="M78" s="14">
        <f>L78*$G$25*RiskFactors!$C$25</f>
        <v>0</v>
      </c>
    </row>
    <row r="79" spans="5:13" x14ac:dyDescent="0.2">
      <c r="F79" s="15">
        <f t="shared" si="21"/>
        <v>5</v>
      </c>
      <c r="G79" s="30">
        <f t="shared" si="20"/>
        <v>119.99994999999998</v>
      </c>
      <c r="I79" s="17">
        <v>0</v>
      </c>
      <c r="L79" s="15">
        <f t="shared" si="19"/>
        <v>0</v>
      </c>
      <c r="M79" s="14">
        <f>L79*$G$25*RiskFactors!$C$25</f>
        <v>0</v>
      </c>
    </row>
    <row r="80" spans="5:13" x14ac:dyDescent="0.2">
      <c r="F80" s="15">
        <f t="shared" si="21"/>
        <v>6</v>
      </c>
      <c r="G80" s="30">
        <f t="shared" si="20"/>
        <v>119.99993999999998</v>
      </c>
      <c r="I80" s="17">
        <v>0</v>
      </c>
      <c r="L80" s="15">
        <f t="shared" si="19"/>
        <v>0</v>
      </c>
      <c r="M80" s="14">
        <f>L80*$G$25*RiskFactors!$C$25</f>
        <v>0</v>
      </c>
    </row>
    <row r="81" spans="6:13" x14ac:dyDescent="0.2">
      <c r="F81" s="15">
        <f t="shared" si="21"/>
        <v>7</v>
      </c>
      <c r="G81" s="30">
        <f t="shared" si="20"/>
        <v>119.99992999999998</v>
      </c>
      <c r="I81" s="17">
        <v>0</v>
      </c>
      <c r="L81" s="15">
        <f t="shared" si="19"/>
        <v>0</v>
      </c>
      <c r="M81" s="14">
        <f>L81*$G$25*RiskFactors!$C$25</f>
        <v>0</v>
      </c>
    </row>
    <row r="82" spans="6:13" x14ac:dyDescent="0.2">
      <c r="F82" s="15">
        <f t="shared" si="21"/>
        <v>8</v>
      </c>
      <c r="G82" s="30">
        <f t="shared" si="20"/>
        <v>119.99991999999997</v>
      </c>
      <c r="I82" s="17">
        <v>0</v>
      </c>
      <c r="L82" s="15">
        <f t="shared" si="19"/>
        <v>0</v>
      </c>
      <c r="M82" s="14">
        <f>L82*$G$25*RiskFactors!$C$25</f>
        <v>0</v>
      </c>
    </row>
    <row r="83" spans="6:13" x14ac:dyDescent="0.2">
      <c r="F83" s="15">
        <f t="shared" si="21"/>
        <v>9</v>
      </c>
      <c r="G83" s="30">
        <f t="shared" si="20"/>
        <v>119.99990999999997</v>
      </c>
      <c r="I83" s="17">
        <v>0</v>
      </c>
      <c r="L83" s="15">
        <f t="shared" si="19"/>
        <v>0</v>
      </c>
      <c r="M83" s="14">
        <f>L83*$G$25*RiskFactors!$C$25</f>
        <v>0</v>
      </c>
    </row>
    <row r="84" spans="6:13" x14ac:dyDescent="0.2">
      <c r="F84" s="15">
        <f t="shared" si="21"/>
        <v>10</v>
      </c>
      <c r="G84" s="30">
        <f t="shared" si="20"/>
        <v>119.99989999999997</v>
      </c>
      <c r="I84" s="17">
        <v>167</v>
      </c>
      <c r="L84" s="15">
        <f t="shared" si="19"/>
        <v>167</v>
      </c>
      <c r="M84" s="14">
        <f>L84*$G$25*RiskFactors!$C$25</f>
        <v>231.36844145447154</v>
      </c>
    </row>
    <row r="85" spans="6:13" x14ac:dyDescent="0.2">
      <c r="F85" s="15">
        <f t="shared" si="21"/>
        <v>11</v>
      </c>
      <c r="G85" s="30">
        <f t="shared" si="20"/>
        <v>119.99988999999997</v>
      </c>
      <c r="I85" s="17">
        <v>0</v>
      </c>
      <c r="L85" s="15">
        <f t="shared" si="19"/>
        <v>0</v>
      </c>
      <c r="M85" s="14">
        <f>L85*$G$25*RiskFactors!$C$25</f>
        <v>0</v>
      </c>
    </row>
    <row r="86" spans="6:13" x14ac:dyDescent="0.2">
      <c r="F86" s="15">
        <f t="shared" si="21"/>
        <v>12</v>
      </c>
      <c r="G86" s="30">
        <f t="shared" si="20"/>
        <v>119.99987999999996</v>
      </c>
      <c r="I86" s="17">
        <v>0</v>
      </c>
      <c r="L86" s="15">
        <f t="shared" si="19"/>
        <v>0</v>
      </c>
      <c r="M86" s="14">
        <f>L86*$G$25*RiskFactors!$C$25</f>
        <v>0</v>
      </c>
    </row>
    <row r="87" spans="6:13" x14ac:dyDescent="0.2">
      <c r="F87" s="15">
        <f t="shared" si="21"/>
        <v>13</v>
      </c>
      <c r="G87" s="30">
        <f t="shared" si="20"/>
        <v>119.99986999999996</v>
      </c>
      <c r="I87" s="17">
        <v>0</v>
      </c>
      <c r="L87" s="15">
        <f t="shared" si="19"/>
        <v>0</v>
      </c>
      <c r="M87" s="14">
        <f>L87*$G$25*RiskFactors!$C$25</f>
        <v>0</v>
      </c>
    </row>
    <row r="88" spans="6:13" x14ac:dyDescent="0.2">
      <c r="F88" s="15">
        <f t="shared" si="21"/>
        <v>14</v>
      </c>
      <c r="G88" s="30">
        <f t="shared" si="20"/>
        <v>119.99985999999996</v>
      </c>
      <c r="I88" s="17">
        <v>0</v>
      </c>
      <c r="L88" s="15">
        <f t="shared" si="19"/>
        <v>0</v>
      </c>
      <c r="M88" s="14">
        <f>L88*$G$25*RiskFactors!$C$25</f>
        <v>0</v>
      </c>
    </row>
    <row r="89" spans="6:13" x14ac:dyDescent="0.2">
      <c r="F89" s="15">
        <f t="shared" si="21"/>
        <v>15</v>
      </c>
      <c r="G89" s="30">
        <f t="shared" si="20"/>
        <v>119.99984999999995</v>
      </c>
      <c r="I89" s="17">
        <v>0</v>
      </c>
      <c r="L89" s="15">
        <f t="shared" si="19"/>
        <v>0</v>
      </c>
      <c r="M89" s="14">
        <f>L89*$G$25*RiskFactors!$C$25</f>
        <v>0</v>
      </c>
    </row>
    <row r="90" spans="6:13" x14ac:dyDescent="0.2">
      <c r="F90" s="15">
        <f t="shared" si="21"/>
        <v>16</v>
      </c>
      <c r="G90" s="30">
        <f t="shared" si="20"/>
        <v>119.99983999999995</v>
      </c>
      <c r="I90" s="17">
        <v>0</v>
      </c>
      <c r="L90" s="15">
        <f t="shared" si="19"/>
        <v>0</v>
      </c>
      <c r="M90" s="14">
        <f>L90*$G$25*RiskFactors!$C$25</f>
        <v>0</v>
      </c>
    </row>
    <row r="91" spans="6:13" x14ac:dyDescent="0.2">
      <c r="F91" s="15">
        <f t="shared" si="21"/>
        <v>17</v>
      </c>
      <c r="G91" s="30">
        <f t="shared" si="20"/>
        <v>119.99982999999995</v>
      </c>
      <c r="I91" s="17">
        <v>0</v>
      </c>
      <c r="L91" s="15">
        <f t="shared" si="19"/>
        <v>0</v>
      </c>
      <c r="M91" s="14">
        <f>L91*$G$25*RiskFactors!$C$25</f>
        <v>0</v>
      </c>
    </row>
    <row r="92" spans="6:13" x14ac:dyDescent="0.2">
      <c r="F92" s="15">
        <f t="shared" si="21"/>
        <v>18</v>
      </c>
      <c r="G92" s="30">
        <f t="shared" si="20"/>
        <v>119.99981999999994</v>
      </c>
      <c r="I92" s="17">
        <v>0</v>
      </c>
      <c r="L92" s="15">
        <f t="shared" si="19"/>
        <v>0</v>
      </c>
      <c r="M92" s="14">
        <f>L92*$G$25*RiskFactors!$C$25</f>
        <v>0</v>
      </c>
    </row>
    <row r="93" spans="6:13" x14ac:dyDescent="0.2">
      <c r="F93" s="15">
        <f t="shared" si="21"/>
        <v>19</v>
      </c>
      <c r="G93" s="30">
        <f t="shared" si="20"/>
        <v>119.99980999999994</v>
      </c>
      <c r="I93" s="17">
        <v>0</v>
      </c>
      <c r="L93" s="15">
        <f t="shared" si="19"/>
        <v>0</v>
      </c>
      <c r="M93" s="14">
        <f>L93*$G$25*RiskFactors!$C$25</f>
        <v>0</v>
      </c>
    </row>
    <row r="94" spans="6:13" x14ac:dyDescent="0.2">
      <c r="F94" s="15">
        <f t="shared" si="21"/>
        <v>20</v>
      </c>
      <c r="G94" s="30">
        <f t="shared" si="20"/>
        <v>119.99979999999994</v>
      </c>
      <c r="I94" s="17">
        <v>0</v>
      </c>
      <c r="L94" s="15">
        <f t="shared" si="19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 t="shared" ref="F101:F120" si="22">1+F102</f>
        <v>21</v>
      </c>
      <c r="G101" s="30">
        <f t="shared" ref="G101:G121" si="23">G102+$C$14</f>
        <v>120.00021000000007</v>
      </c>
    </row>
    <row r="102" spans="6:12" x14ac:dyDescent="0.2">
      <c r="F102" s="15">
        <f t="shared" si="22"/>
        <v>20</v>
      </c>
      <c r="G102" s="30">
        <f t="shared" si="23"/>
        <v>120.00020000000006</v>
      </c>
      <c r="L102" s="15">
        <f>L54+L5</f>
        <v>0</v>
      </c>
    </row>
    <row r="103" spans="6:12" x14ac:dyDescent="0.2">
      <c r="F103" s="15">
        <f t="shared" si="22"/>
        <v>19</v>
      </c>
      <c r="G103" s="30">
        <f t="shared" si="23"/>
        <v>120.00019000000006</v>
      </c>
      <c r="L103" s="15">
        <f t="shared" ref="L103:L121" si="24">L55+L6</f>
        <v>0</v>
      </c>
    </row>
    <row r="104" spans="6:12" x14ac:dyDescent="0.2">
      <c r="F104" s="15">
        <f t="shared" si="22"/>
        <v>18</v>
      </c>
      <c r="G104" s="30">
        <f t="shared" si="23"/>
        <v>120.00018000000006</v>
      </c>
      <c r="L104" s="15">
        <f t="shared" si="24"/>
        <v>0</v>
      </c>
    </row>
    <row r="105" spans="6:12" x14ac:dyDescent="0.2">
      <c r="F105" s="15">
        <f t="shared" si="22"/>
        <v>17</v>
      </c>
      <c r="G105" s="30">
        <f t="shared" si="23"/>
        <v>120.00017000000005</v>
      </c>
      <c r="L105" s="15">
        <f t="shared" si="24"/>
        <v>0</v>
      </c>
    </row>
    <row r="106" spans="6:12" x14ac:dyDescent="0.2">
      <c r="F106" s="15">
        <f t="shared" si="22"/>
        <v>16</v>
      </c>
      <c r="G106" s="30">
        <f t="shared" si="23"/>
        <v>120.00016000000005</v>
      </c>
      <c r="L106" s="15">
        <f t="shared" si="24"/>
        <v>0</v>
      </c>
    </row>
    <row r="107" spans="6:12" x14ac:dyDescent="0.2">
      <c r="F107" s="15">
        <f t="shared" si="22"/>
        <v>15</v>
      </c>
      <c r="G107" s="30">
        <f t="shared" si="23"/>
        <v>120.00015000000005</v>
      </c>
      <c r="L107" s="15">
        <f t="shared" si="24"/>
        <v>0</v>
      </c>
    </row>
    <row r="108" spans="6:12" x14ac:dyDescent="0.2">
      <c r="F108" s="15">
        <f t="shared" si="22"/>
        <v>14</v>
      </c>
      <c r="G108" s="30">
        <f t="shared" si="23"/>
        <v>120.00014000000004</v>
      </c>
      <c r="L108" s="15">
        <f t="shared" si="24"/>
        <v>0</v>
      </c>
    </row>
    <row r="109" spans="6:12" x14ac:dyDescent="0.2">
      <c r="F109" s="15">
        <f t="shared" si="22"/>
        <v>13</v>
      </c>
      <c r="G109" s="30">
        <f t="shared" si="23"/>
        <v>120.00013000000004</v>
      </c>
      <c r="L109" s="15">
        <f t="shared" si="24"/>
        <v>0</v>
      </c>
    </row>
    <row r="110" spans="6:12" x14ac:dyDescent="0.2">
      <c r="F110" s="15">
        <f t="shared" si="22"/>
        <v>12</v>
      </c>
      <c r="G110" s="30">
        <f t="shared" si="23"/>
        <v>120.00012000000004</v>
      </c>
      <c r="L110" s="15">
        <f t="shared" si="24"/>
        <v>0</v>
      </c>
    </row>
    <row r="111" spans="6:12" x14ac:dyDescent="0.2">
      <c r="F111" s="15">
        <f t="shared" si="22"/>
        <v>11</v>
      </c>
      <c r="G111" s="30">
        <f t="shared" si="23"/>
        <v>120.00011000000003</v>
      </c>
      <c r="L111" s="15">
        <f t="shared" si="24"/>
        <v>0</v>
      </c>
    </row>
    <row r="112" spans="6:12" x14ac:dyDescent="0.2">
      <c r="F112" s="15">
        <f t="shared" si="22"/>
        <v>10</v>
      </c>
      <c r="G112" s="30">
        <f t="shared" si="23"/>
        <v>120.00010000000003</v>
      </c>
      <c r="L112" s="15">
        <f t="shared" si="24"/>
        <v>334</v>
      </c>
    </row>
    <row r="113" spans="5:12" x14ac:dyDescent="0.2">
      <c r="F113" s="15">
        <f t="shared" si="22"/>
        <v>9</v>
      </c>
      <c r="G113" s="30">
        <f t="shared" si="23"/>
        <v>120.00009000000003</v>
      </c>
      <c r="L113" s="15">
        <f t="shared" si="24"/>
        <v>0</v>
      </c>
    </row>
    <row r="114" spans="5:12" x14ac:dyDescent="0.2">
      <c r="F114" s="15">
        <f t="shared" si="22"/>
        <v>8</v>
      </c>
      <c r="G114" s="30">
        <f t="shared" si="23"/>
        <v>120.00008000000003</v>
      </c>
      <c r="L114" s="15">
        <f t="shared" si="24"/>
        <v>0</v>
      </c>
    </row>
    <row r="115" spans="5:12" x14ac:dyDescent="0.2">
      <c r="F115" s="15">
        <f t="shared" si="22"/>
        <v>7</v>
      </c>
      <c r="G115" s="30">
        <f t="shared" si="23"/>
        <v>120.00007000000002</v>
      </c>
      <c r="L115" s="15">
        <f t="shared" si="24"/>
        <v>0</v>
      </c>
    </row>
    <row r="116" spans="5:12" x14ac:dyDescent="0.2">
      <c r="F116" s="15">
        <f t="shared" si="22"/>
        <v>6</v>
      </c>
      <c r="G116" s="30">
        <f t="shared" si="23"/>
        <v>120.00006000000002</v>
      </c>
      <c r="L116" s="15">
        <f t="shared" si="24"/>
        <v>0</v>
      </c>
    </row>
    <row r="117" spans="5:12" x14ac:dyDescent="0.2">
      <c r="F117" s="15">
        <f t="shared" si="22"/>
        <v>5</v>
      </c>
      <c r="G117" s="30">
        <f t="shared" si="23"/>
        <v>120.00005000000002</v>
      </c>
      <c r="L117" s="15">
        <f t="shared" si="24"/>
        <v>0</v>
      </c>
    </row>
    <row r="118" spans="5:12" x14ac:dyDescent="0.2">
      <c r="F118" s="15">
        <f t="shared" si="22"/>
        <v>4</v>
      </c>
      <c r="G118" s="30">
        <f t="shared" si="23"/>
        <v>120.00004000000001</v>
      </c>
      <c r="L118" s="15">
        <f t="shared" si="24"/>
        <v>0</v>
      </c>
    </row>
    <row r="119" spans="5:12" x14ac:dyDescent="0.2">
      <c r="F119" s="15">
        <f t="shared" si="22"/>
        <v>3</v>
      </c>
      <c r="G119" s="30">
        <f t="shared" si="23"/>
        <v>120.00003000000001</v>
      </c>
      <c r="L119" s="15">
        <f t="shared" si="24"/>
        <v>0</v>
      </c>
    </row>
    <row r="120" spans="5:12" x14ac:dyDescent="0.2">
      <c r="F120" s="15">
        <f t="shared" si="22"/>
        <v>2</v>
      </c>
      <c r="G120" s="30">
        <f t="shared" si="23"/>
        <v>120.00002000000001</v>
      </c>
      <c r="L120" s="15">
        <f t="shared" si="24"/>
        <v>0</v>
      </c>
    </row>
    <row r="121" spans="5:12" x14ac:dyDescent="0.2">
      <c r="F121" s="15">
        <v>1</v>
      </c>
      <c r="G121" s="30">
        <f t="shared" si="23"/>
        <v>120.00001</v>
      </c>
      <c r="L121" s="15">
        <f t="shared" si="24"/>
        <v>1</v>
      </c>
    </row>
    <row r="122" spans="5:12" x14ac:dyDescent="0.2">
      <c r="E122" s="24" t="s">
        <v>36</v>
      </c>
      <c r="F122" s="5">
        <v>0</v>
      </c>
      <c r="G122" s="29">
        <f>$C$13</f>
        <v>120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 t="shared" ref="G123:G142" si="25">G122-$C$14</f>
        <v>119.99999</v>
      </c>
      <c r="L123" s="15">
        <f>L75+L26</f>
        <v>1</v>
      </c>
    </row>
    <row r="124" spans="5:12" x14ac:dyDescent="0.2">
      <c r="F124" s="15">
        <f t="shared" ref="F124:F142" si="26">1+F123</f>
        <v>2</v>
      </c>
      <c r="G124" s="30">
        <f t="shared" si="25"/>
        <v>119.99997999999999</v>
      </c>
      <c r="L124" s="15">
        <f t="shared" ref="L124:L142" si="27">L76+L27</f>
        <v>0</v>
      </c>
    </row>
    <row r="125" spans="5:12" x14ac:dyDescent="0.2">
      <c r="F125" s="15">
        <f t="shared" si="26"/>
        <v>3</v>
      </c>
      <c r="G125" s="30">
        <f t="shared" si="25"/>
        <v>119.99996999999999</v>
      </c>
      <c r="L125" s="15">
        <f t="shared" si="27"/>
        <v>0</v>
      </c>
    </row>
    <row r="126" spans="5:12" x14ac:dyDescent="0.2">
      <c r="F126" s="15">
        <f t="shared" si="26"/>
        <v>4</v>
      </c>
      <c r="G126" s="30">
        <f t="shared" si="25"/>
        <v>119.99995999999999</v>
      </c>
      <c r="L126" s="15">
        <f t="shared" si="27"/>
        <v>0</v>
      </c>
    </row>
    <row r="127" spans="5:12" x14ac:dyDescent="0.2">
      <c r="F127" s="15">
        <f t="shared" si="26"/>
        <v>5</v>
      </c>
      <c r="G127" s="30">
        <f t="shared" si="25"/>
        <v>119.99994999999998</v>
      </c>
      <c r="L127" s="15">
        <f t="shared" si="27"/>
        <v>0</v>
      </c>
    </row>
    <row r="128" spans="5:12" x14ac:dyDescent="0.2">
      <c r="F128" s="15">
        <f t="shared" si="26"/>
        <v>6</v>
      </c>
      <c r="G128" s="30">
        <f t="shared" si="25"/>
        <v>119.99993999999998</v>
      </c>
      <c r="L128" s="15">
        <f t="shared" si="27"/>
        <v>0</v>
      </c>
    </row>
    <row r="129" spans="6:12" x14ac:dyDescent="0.2">
      <c r="F129" s="15">
        <f t="shared" si="26"/>
        <v>7</v>
      </c>
      <c r="G129" s="30">
        <f t="shared" si="25"/>
        <v>119.99992999999998</v>
      </c>
      <c r="L129" s="15">
        <f t="shared" si="27"/>
        <v>0</v>
      </c>
    </row>
    <row r="130" spans="6:12" x14ac:dyDescent="0.2">
      <c r="F130" s="15">
        <f t="shared" si="26"/>
        <v>8</v>
      </c>
      <c r="G130" s="30">
        <f t="shared" si="25"/>
        <v>119.99991999999997</v>
      </c>
      <c r="L130" s="15">
        <f t="shared" si="27"/>
        <v>0</v>
      </c>
    </row>
    <row r="131" spans="6:12" x14ac:dyDescent="0.2">
      <c r="F131" s="15">
        <f t="shared" si="26"/>
        <v>9</v>
      </c>
      <c r="G131" s="30">
        <f t="shared" si="25"/>
        <v>119.99990999999997</v>
      </c>
      <c r="L131" s="15">
        <f t="shared" si="27"/>
        <v>0</v>
      </c>
    </row>
    <row r="132" spans="6:12" x14ac:dyDescent="0.2">
      <c r="F132" s="15">
        <f t="shared" si="26"/>
        <v>10</v>
      </c>
      <c r="G132" s="30">
        <f t="shared" si="25"/>
        <v>119.99989999999997</v>
      </c>
      <c r="L132" s="15">
        <f t="shared" si="27"/>
        <v>334</v>
      </c>
    </row>
    <row r="133" spans="6:12" x14ac:dyDescent="0.2">
      <c r="F133" s="15">
        <f t="shared" si="26"/>
        <v>11</v>
      </c>
      <c r="G133" s="30">
        <f t="shared" si="25"/>
        <v>119.99988999999997</v>
      </c>
      <c r="L133" s="15">
        <f t="shared" si="27"/>
        <v>0</v>
      </c>
    </row>
    <row r="134" spans="6:12" x14ac:dyDescent="0.2">
      <c r="F134" s="15">
        <f t="shared" si="26"/>
        <v>12</v>
      </c>
      <c r="G134" s="30">
        <f t="shared" si="25"/>
        <v>119.99987999999996</v>
      </c>
      <c r="L134" s="15">
        <f t="shared" si="27"/>
        <v>0</v>
      </c>
    </row>
    <row r="135" spans="6:12" x14ac:dyDescent="0.2">
      <c r="F135" s="15">
        <f t="shared" si="26"/>
        <v>13</v>
      </c>
      <c r="G135" s="30">
        <f t="shared" si="25"/>
        <v>119.99986999999996</v>
      </c>
      <c r="L135" s="15">
        <f t="shared" si="27"/>
        <v>0</v>
      </c>
    </row>
    <row r="136" spans="6:12" x14ac:dyDescent="0.2">
      <c r="F136" s="15">
        <f t="shared" si="26"/>
        <v>14</v>
      </c>
      <c r="G136" s="30">
        <f t="shared" si="25"/>
        <v>119.99985999999996</v>
      </c>
      <c r="L136" s="15">
        <f t="shared" si="27"/>
        <v>0</v>
      </c>
    </row>
    <row r="137" spans="6:12" x14ac:dyDescent="0.2">
      <c r="F137" s="15">
        <f t="shared" si="26"/>
        <v>15</v>
      </c>
      <c r="G137" s="30">
        <f t="shared" si="25"/>
        <v>119.99984999999995</v>
      </c>
      <c r="L137" s="15">
        <f t="shared" si="27"/>
        <v>0</v>
      </c>
    </row>
    <row r="138" spans="6:12" x14ac:dyDescent="0.2">
      <c r="F138" s="15">
        <f t="shared" si="26"/>
        <v>16</v>
      </c>
      <c r="G138" s="30">
        <f t="shared" si="25"/>
        <v>119.99983999999995</v>
      </c>
      <c r="L138" s="15">
        <f t="shared" si="27"/>
        <v>0</v>
      </c>
    </row>
    <row r="139" spans="6:12" x14ac:dyDescent="0.2">
      <c r="F139" s="15">
        <f t="shared" si="26"/>
        <v>17</v>
      </c>
      <c r="G139" s="30">
        <f t="shared" si="25"/>
        <v>119.99982999999995</v>
      </c>
      <c r="L139" s="15">
        <f t="shared" si="27"/>
        <v>0</v>
      </c>
    </row>
    <row r="140" spans="6:12" x14ac:dyDescent="0.2">
      <c r="F140" s="15">
        <f t="shared" si="26"/>
        <v>18</v>
      </c>
      <c r="G140" s="30">
        <f t="shared" si="25"/>
        <v>119.99981999999994</v>
      </c>
      <c r="L140" s="15">
        <f t="shared" si="27"/>
        <v>0</v>
      </c>
    </row>
    <row r="141" spans="6:12" x14ac:dyDescent="0.2">
      <c r="F141" s="15">
        <f t="shared" si="26"/>
        <v>19</v>
      </c>
      <c r="G141" s="30">
        <f t="shared" si="25"/>
        <v>119.99980999999994</v>
      </c>
      <c r="L141" s="15">
        <f t="shared" si="27"/>
        <v>0</v>
      </c>
    </row>
    <row r="142" spans="6:12" x14ac:dyDescent="0.2">
      <c r="F142" s="15">
        <f t="shared" si="26"/>
        <v>20</v>
      </c>
      <c r="G142" s="30">
        <f t="shared" si="25"/>
        <v>119.99979999999994</v>
      </c>
      <c r="L142" s="15">
        <f t="shared" si="27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0C1A-219E-FA43-8902-E51572F832C8}">
  <dimension ref="B2:Z193"/>
  <sheetViews>
    <sheetView zoomScale="90" zoomScaleNormal="90" workbookViewId="0"/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0.83203125" style="11" customWidth="1"/>
    <col min="12" max="12" width="12" style="11" bestFit="1" customWidth="1"/>
    <col min="13" max="13" width="14.6640625" style="11" customWidth="1"/>
    <col min="14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 t="shared" ref="F4:F23" si="0">1+F5</f>
        <v>21</v>
      </c>
      <c r="G4" s="30">
        <f t="shared" ref="G4:G24" si="1">G5+$C$14</f>
        <v>120.00031000000007</v>
      </c>
      <c r="U4" s="11">
        <f t="shared" ref="U4:U24" si="2">IF(H4&lt;0.0000000001,0,J4)</f>
        <v>0</v>
      </c>
      <c r="V4" s="11">
        <f t="shared" ref="V4:V24" si="3">IF(H4&lt;0.0000000001,0,J4/$C$26)</f>
        <v>0</v>
      </c>
      <c r="X4" s="12">
        <f t="shared" ref="X4:X45" si="4">(LN(G4/$C$13)-($C$7-0.5*$C$8*$C$8)*$C$10)/($C$8*SQRT($C$10))</f>
        <v>2.2312495968096172E-3</v>
      </c>
      <c r="Y4" s="12"/>
      <c r="Z4" s="12"/>
    </row>
    <row r="5" spans="2:26" x14ac:dyDescent="0.2">
      <c r="F5" s="15">
        <f t="shared" si="0"/>
        <v>20</v>
      </c>
      <c r="G5" s="30">
        <f t="shared" si="1"/>
        <v>120.00030000000007</v>
      </c>
      <c r="H5" s="31">
        <f t="shared" ref="H5:H24" si="5">1-_xlfn.NORM.DIST(X5,0,1,TRUE)</f>
        <v>0.49911950506498859</v>
      </c>
      <c r="I5" s="17">
        <v>0</v>
      </c>
      <c r="J5" s="16">
        <v>0</v>
      </c>
      <c r="K5" s="15">
        <f t="shared" ref="K5:K24" si="6">IF(H5&lt;0.0000000001,0,CEILING($C$24*V5/H5/G5,1))</f>
        <v>0</v>
      </c>
      <c r="L5" s="15">
        <f t="shared" ref="L5:L24" si="7">K5+I5</f>
        <v>0</v>
      </c>
      <c r="M5" s="14">
        <f>L5*$G$25*RiskFactors!$C$24</f>
        <v>0</v>
      </c>
      <c r="U5" s="11">
        <f t="shared" si="2"/>
        <v>0</v>
      </c>
      <c r="V5" s="11">
        <f t="shared" si="3"/>
        <v>0</v>
      </c>
      <c r="X5" s="12">
        <f t="shared" si="4"/>
        <v>2.207075291611545E-3</v>
      </c>
      <c r="Y5" s="12">
        <f t="shared" ref="Y5:Y45" si="8">(LN(G4/$C$13)-($C$7-0.5*$C$8*$C$8)*$C$10)/($C$8*SQRT($C$10))</f>
        <v>2.2312495968096172E-3</v>
      </c>
      <c r="Z5" s="12">
        <f t="shared" ref="Z5:Z45" si="9">_xlfn.NORM.DIST(Y5,0,1,TRUE)-_xlfn.NORM.DIST(X5,0,1,TRUE)</f>
        <v>9.6441286954185301E-6</v>
      </c>
    </row>
    <row r="6" spans="2:26" x14ac:dyDescent="0.2">
      <c r="B6" s="5" t="s">
        <v>50</v>
      </c>
      <c r="C6" s="4"/>
      <c r="D6" s="5"/>
      <c r="F6" s="15">
        <f t="shared" si="0"/>
        <v>19</v>
      </c>
      <c r="G6" s="30">
        <f t="shared" si="1"/>
        <v>120.00029000000006</v>
      </c>
      <c r="H6" s="31">
        <f t="shared" si="5"/>
        <v>0.49912914919497664</v>
      </c>
      <c r="I6" s="17">
        <v>0</v>
      </c>
      <c r="J6" s="16">
        <v>0</v>
      </c>
      <c r="K6" s="15">
        <f t="shared" si="6"/>
        <v>0</v>
      </c>
      <c r="L6" s="15">
        <f t="shared" si="7"/>
        <v>0</v>
      </c>
      <c r="M6" s="14">
        <f>L6*$G$25*RiskFactors!$C$24</f>
        <v>0</v>
      </c>
      <c r="U6" s="11">
        <f t="shared" si="2"/>
        <v>0</v>
      </c>
      <c r="V6" s="11">
        <f t="shared" si="3"/>
        <v>0</v>
      </c>
      <c r="X6" s="12">
        <f t="shared" si="4"/>
        <v>2.1829009844633661E-3</v>
      </c>
      <c r="Y6" s="12">
        <f t="shared" si="8"/>
        <v>2.207075291611545E-3</v>
      </c>
      <c r="Z6" s="12">
        <f t="shared" si="9"/>
        <v>9.6441299880511977E-6</v>
      </c>
    </row>
    <row r="7" spans="2:26" x14ac:dyDescent="0.2">
      <c r="B7" s="15" t="s">
        <v>13</v>
      </c>
      <c r="C7" s="16">
        <v>0</v>
      </c>
      <c r="D7" s="15"/>
      <c r="F7" s="15">
        <f t="shared" si="0"/>
        <v>18</v>
      </c>
      <c r="G7" s="30">
        <f t="shared" si="1"/>
        <v>120.00028000000006</v>
      </c>
      <c r="H7" s="31">
        <f t="shared" si="5"/>
        <v>0.4991387933262772</v>
      </c>
      <c r="I7" s="17">
        <v>0</v>
      </c>
      <c r="J7" s="16">
        <v>0</v>
      </c>
      <c r="K7" s="15">
        <f t="shared" si="6"/>
        <v>0</v>
      </c>
      <c r="L7" s="15">
        <f t="shared" si="7"/>
        <v>0</v>
      </c>
      <c r="M7" s="14">
        <f>L7*$G$25*RiskFactors!$C$24</f>
        <v>0</v>
      </c>
      <c r="U7" s="11">
        <f t="shared" si="2"/>
        <v>0</v>
      </c>
      <c r="V7" s="11">
        <f t="shared" si="3"/>
        <v>0</v>
      </c>
      <c r="X7" s="12">
        <f t="shared" si="4"/>
        <v>2.1587266753006662E-3</v>
      </c>
      <c r="Y7" s="12">
        <f t="shared" si="8"/>
        <v>2.1829009844633661E-3</v>
      </c>
      <c r="Z7" s="12">
        <f t="shared" si="9"/>
        <v>9.6441313005568574E-6</v>
      </c>
    </row>
    <row r="8" spans="2:26" x14ac:dyDescent="0.2">
      <c r="B8" s="15" t="s">
        <v>14</v>
      </c>
      <c r="C8" s="28">
        <v>2.5</v>
      </c>
      <c r="D8" s="15"/>
      <c r="F8" s="15">
        <f t="shared" si="0"/>
        <v>17</v>
      </c>
      <c r="G8" s="30">
        <f t="shared" si="1"/>
        <v>120.00027000000006</v>
      </c>
      <c r="H8" s="31">
        <f t="shared" si="5"/>
        <v>0.49914843745891035</v>
      </c>
      <c r="I8" s="17">
        <v>0</v>
      </c>
      <c r="J8" s="16">
        <v>0</v>
      </c>
      <c r="K8" s="15">
        <f t="shared" si="6"/>
        <v>0</v>
      </c>
      <c r="L8" s="15">
        <f t="shared" si="7"/>
        <v>0</v>
      </c>
      <c r="M8" s="14">
        <f>L8*$G$25*RiskFactors!$C$24</f>
        <v>0</v>
      </c>
      <c r="U8" s="11">
        <f t="shared" si="2"/>
        <v>0</v>
      </c>
      <c r="V8" s="11">
        <f t="shared" si="3"/>
        <v>0</v>
      </c>
      <c r="X8" s="12">
        <f t="shared" si="4"/>
        <v>2.1345523640590317E-3</v>
      </c>
      <c r="Y8" s="12">
        <f t="shared" si="8"/>
        <v>2.1587266753006662E-3</v>
      </c>
      <c r="Z8" s="12">
        <f t="shared" si="9"/>
        <v>9.6441326331575539E-6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 t="shared" si="0"/>
        <v>16</v>
      </c>
      <c r="G9" s="30">
        <f t="shared" si="1"/>
        <v>120.00026000000005</v>
      </c>
      <c r="H9" s="31">
        <f t="shared" si="5"/>
        <v>0.49915808159281927</v>
      </c>
      <c r="I9" s="17">
        <v>0</v>
      </c>
      <c r="J9" s="16">
        <v>0</v>
      </c>
      <c r="K9" s="15">
        <f t="shared" si="6"/>
        <v>0</v>
      </c>
      <c r="L9" s="15">
        <f t="shared" si="7"/>
        <v>0</v>
      </c>
      <c r="M9" s="14">
        <f>L9*$G$25*RiskFactors!$C$24</f>
        <v>0</v>
      </c>
      <c r="U9" s="11">
        <f t="shared" si="2"/>
        <v>0</v>
      </c>
      <c r="V9" s="11">
        <f t="shared" si="3"/>
        <v>0</v>
      </c>
      <c r="X9" s="12">
        <f t="shared" si="4"/>
        <v>2.1103780508672895E-3</v>
      </c>
      <c r="Y9" s="12">
        <f t="shared" si="8"/>
        <v>2.1345523640590317E-3</v>
      </c>
      <c r="Z9" s="12">
        <f t="shared" si="9"/>
        <v>9.6441339089148315E-6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 t="shared" si="0"/>
        <v>15</v>
      </c>
      <c r="G10" s="30">
        <f t="shared" si="1"/>
        <v>120.00025000000005</v>
      </c>
      <c r="H10" s="31">
        <f t="shared" si="5"/>
        <v>0.49916772572802381</v>
      </c>
      <c r="I10" s="17">
        <v>0</v>
      </c>
      <c r="J10" s="16">
        <v>0</v>
      </c>
      <c r="K10" s="15">
        <f t="shared" si="6"/>
        <v>0</v>
      </c>
      <c r="L10" s="15">
        <f t="shared" si="7"/>
        <v>0</v>
      </c>
      <c r="M10" s="14">
        <f>L10*$G$25*RiskFactors!$C$24</f>
        <v>0</v>
      </c>
      <c r="U10" s="11">
        <f t="shared" si="2"/>
        <v>0</v>
      </c>
      <c r="V10" s="11">
        <f t="shared" si="3"/>
        <v>0</v>
      </c>
      <c r="X10" s="12">
        <f t="shared" si="4"/>
        <v>2.0862037356610252E-3</v>
      </c>
      <c r="Y10" s="12">
        <f t="shared" si="8"/>
        <v>2.1103780508672895E-3</v>
      </c>
      <c r="Z10" s="12">
        <f t="shared" si="9"/>
        <v>9.6441352045451012E-6</v>
      </c>
    </row>
    <row r="11" spans="2:26" x14ac:dyDescent="0.2">
      <c r="F11" s="15">
        <f t="shared" si="0"/>
        <v>14</v>
      </c>
      <c r="G11" s="30">
        <f t="shared" si="1"/>
        <v>120.00024000000005</v>
      </c>
      <c r="H11" s="31">
        <f t="shared" si="5"/>
        <v>0.49917736986454408</v>
      </c>
      <c r="I11" s="17">
        <v>0</v>
      </c>
      <c r="J11" s="16">
        <v>0</v>
      </c>
      <c r="K11" s="15">
        <f t="shared" si="6"/>
        <v>0</v>
      </c>
      <c r="L11" s="15">
        <f t="shared" si="7"/>
        <v>0</v>
      </c>
      <c r="M11" s="14">
        <f>L11*$G$25*RiskFactors!$C$24</f>
        <v>0</v>
      </c>
      <c r="U11" s="11">
        <f t="shared" si="2"/>
        <v>0</v>
      </c>
      <c r="V11" s="11">
        <f t="shared" si="3"/>
        <v>0</v>
      </c>
      <c r="X11" s="12">
        <f t="shared" si="4"/>
        <v>2.0620294183758252E-3</v>
      </c>
      <c r="Y11" s="12">
        <f t="shared" si="8"/>
        <v>2.0862037356610252E-3</v>
      </c>
      <c r="Z11" s="12">
        <f t="shared" si="9"/>
        <v>9.6441365202704077E-6</v>
      </c>
    </row>
    <row r="12" spans="2:26" x14ac:dyDescent="0.2">
      <c r="B12" s="5" t="s">
        <v>47</v>
      </c>
      <c r="C12" s="4"/>
      <c r="D12" s="5"/>
      <c r="F12" s="15">
        <f t="shared" si="0"/>
        <v>13</v>
      </c>
      <c r="G12" s="30">
        <f t="shared" si="1"/>
        <v>120.00023000000004</v>
      </c>
      <c r="H12" s="31">
        <f t="shared" si="5"/>
        <v>0.49918701400232313</v>
      </c>
      <c r="I12" s="17">
        <v>0</v>
      </c>
      <c r="J12" s="16">
        <v>0</v>
      </c>
      <c r="K12" s="15">
        <f t="shared" si="6"/>
        <v>0</v>
      </c>
      <c r="L12" s="15">
        <f t="shared" si="7"/>
        <v>0</v>
      </c>
      <c r="M12" s="14">
        <f>L12*$G$25*RiskFactors!$C$24</f>
        <v>0</v>
      </c>
      <c r="U12" s="11">
        <f t="shared" si="2"/>
        <v>0</v>
      </c>
      <c r="V12" s="11">
        <f t="shared" si="3"/>
        <v>0</v>
      </c>
      <c r="X12" s="12">
        <f t="shared" si="4"/>
        <v>2.0378550991405164E-3</v>
      </c>
      <c r="Y12" s="12">
        <f t="shared" si="8"/>
        <v>2.0620294183758252E-3</v>
      </c>
      <c r="Z12" s="12">
        <f t="shared" si="9"/>
        <v>9.644137779041273E-6</v>
      </c>
    </row>
    <row r="13" spans="2:26" x14ac:dyDescent="0.2">
      <c r="B13" s="15" t="s">
        <v>63</v>
      </c>
      <c r="C13" s="16">
        <v>120.0001</v>
      </c>
      <c r="D13" s="21" t="str">
        <f>C15&amp;" to "&amp;C16</f>
        <v>USD to AAPL</v>
      </c>
      <c r="F13" s="15">
        <f t="shared" si="0"/>
        <v>12</v>
      </c>
      <c r="G13" s="30">
        <f t="shared" si="1"/>
        <v>120.00022000000004</v>
      </c>
      <c r="H13" s="31">
        <f t="shared" si="5"/>
        <v>0.49919665814138092</v>
      </c>
      <c r="I13" s="17">
        <v>0</v>
      </c>
      <c r="J13" s="16">
        <v>0</v>
      </c>
      <c r="K13" s="15">
        <f t="shared" si="6"/>
        <v>0</v>
      </c>
      <c r="L13" s="15">
        <f t="shared" si="7"/>
        <v>0</v>
      </c>
      <c r="M13" s="14">
        <f>L13*$G$25*RiskFactors!$C$24</f>
        <v>0</v>
      </c>
      <c r="U13" s="11">
        <f t="shared" si="2"/>
        <v>0</v>
      </c>
      <c r="V13" s="11">
        <f t="shared" si="3"/>
        <v>0</v>
      </c>
      <c r="X13" s="12">
        <f t="shared" si="4"/>
        <v>2.0136807778906845E-3</v>
      </c>
      <c r="Y13" s="12">
        <f t="shared" si="8"/>
        <v>2.0378550991405164E-3</v>
      </c>
      <c r="Z13" s="12">
        <f t="shared" si="9"/>
        <v>9.6441390577961528E-6</v>
      </c>
    </row>
    <row r="14" spans="2:26" x14ac:dyDescent="0.2">
      <c r="B14" s="15" t="s">
        <v>46</v>
      </c>
      <c r="C14" s="16">
        <v>1.0000000000000001E-5</v>
      </c>
      <c r="D14" s="15"/>
      <c r="F14" s="15">
        <f t="shared" si="0"/>
        <v>11</v>
      </c>
      <c r="G14" s="30">
        <f t="shared" si="1"/>
        <v>120.00021000000004</v>
      </c>
      <c r="H14" s="31">
        <f t="shared" si="5"/>
        <v>0.49920630228173768</v>
      </c>
      <c r="I14" s="17">
        <v>0</v>
      </c>
      <c r="J14" s="16">
        <v>0</v>
      </c>
      <c r="K14" s="15">
        <f t="shared" si="6"/>
        <v>0</v>
      </c>
      <c r="L14" s="15">
        <f t="shared" si="7"/>
        <v>0</v>
      </c>
      <c r="M14" s="14">
        <f>L14*$G$25*RiskFactors!$C$24</f>
        <v>0</v>
      </c>
      <c r="U14" s="11">
        <f t="shared" si="2"/>
        <v>0</v>
      </c>
      <c r="V14" s="11">
        <f t="shared" si="3"/>
        <v>0</v>
      </c>
      <c r="X14" s="12">
        <f t="shared" si="4"/>
        <v>1.9895064545619161E-3</v>
      </c>
      <c r="Y14" s="12">
        <f t="shared" si="8"/>
        <v>2.0136807778906845E-3</v>
      </c>
      <c r="Z14" s="12">
        <f t="shared" si="9"/>
        <v>9.6441403567570916E-6</v>
      </c>
    </row>
    <row r="15" spans="2:26" x14ac:dyDescent="0.2">
      <c r="B15" s="21" t="s">
        <v>45</v>
      </c>
      <c r="C15" s="26" t="s">
        <v>41</v>
      </c>
      <c r="D15" s="15"/>
      <c r="F15" s="15">
        <f t="shared" si="0"/>
        <v>10</v>
      </c>
      <c r="G15" s="30">
        <f t="shared" si="1"/>
        <v>120.00020000000004</v>
      </c>
      <c r="H15" s="31">
        <f t="shared" si="5"/>
        <v>0.49921594642333611</v>
      </c>
      <c r="I15" s="17">
        <v>0</v>
      </c>
      <c r="J15" s="16">
        <v>1</v>
      </c>
      <c r="K15" s="15">
        <f t="shared" si="6"/>
        <v>9</v>
      </c>
      <c r="L15" s="15">
        <f t="shared" si="7"/>
        <v>9</v>
      </c>
      <c r="M15" s="14">
        <f>L15*$G$25*RiskFactors!$C$24</f>
        <v>12.602504809322911</v>
      </c>
      <c r="U15" s="11">
        <f t="shared" si="2"/>
        <v>1</v>
      </c>
      <c r="V15" s="11">
        <f t="shared" si="3"/>
        <v>7.1428571428571425E-2</v>
      </c>
      <c r="X15" s="12">
        <f t="shared" si="4"/>
        <v>1.9653321292830376E-3</v>
      </c>
      <c r="Y15" s="12">
        <f t="shared" si="8"/>
        <v>1.9895064545619161E-3</v>
      </c>
      <c r="Z15" s="12">
        <f t="shared" si="9"/>
        <v>9.6441415984305223E-6</v>
      </c>
    </row>
    <row r="16" spans="2:26" x14ac:dyDescent="0.2">
      <c r="B16" s="21" t="s">
        <v>44</v>
      </c>
      <c r="C16" s="26" t="s">
        <v>64</v>
      </c>
      <c r="D16" s="15"/>
      <c r="F16" s="15">
        <f t="shared" si="0"/>
        <v>9</v>
      </c>
      <c r="G16" s="30">
        <f t="shared" si="1"/>
        <v>120.00019000000003</v>
      </c>
      <c r="H16" s="31">
        <f t="shared" si="5"/>
        <v>0.49922559056619642</v>
      </c>
      <c r="I16" s="17">
        <v>0</v>
      </c>
      <c r="J16" s="16">
        <v>1</v>
      </c>
      <c r="K16" s="15">
        <f t="shared" si="6"/>
        <v>9</v>
      </c>
      <c r="L16" s="15">
        <f t="shared" si="7"/>
        <v>9</v>
      </c>
      <c r="M16" s="14">
        <f>L16*$G$25*RiskFactors!$C$24</f>
        <v>12.602504809322911</v>
      </c>
      <c r="U16" s="11">
        <f t="shared" si="2"/>
        <v>1</v>
      </c>
      <c r="V16" s="11">
        <f t="shared" si="3"/>
        <v>7.1428571428571425E-2</v>
      </c>
      <c r="X16" s="12">
        <f t="shared" si="4"/>
        <v>1.9411578019896355E-3</v>
      </c>
      <c r="Y16" s="12">
        <f t="shared" si="8"/>
        <v>1.9653321292830376E-3</v>
      </c>
      <c r="Z16" s="12">
        <f t="shared" si="9"/>
        <v>9.6441428603100121E-6</v>
      </c>
    </row>
    <row r="17" spans="2:26" x14ac:dyDescent="0.2">
      <c r="F17" s="15">
        <f t="shared" si="0"/>
        <v>8</v>
      </c>
      <c r="G17" s="30">
        <f t="shared" si="1"/>
        <v>120.00018000000003</v>
      </c>
      <c r="H17" s="31">
        <f t="shared" si="5"/>
        <v>0.49923523471031306</v>
      </c>
      <c r="I17" s="17">
        <v>0</v>
      </c>
      <c r="J17" s="16">
        <v>1</v>
      </c>
      <c r="K17" s="15">
        <f t="shared" si="6"/>
        <v>9</v>
      </c>
      <c r="L17" s="15">
        <f t="shared" si="7"/>
        <v>9</v>
      </c>
      <c r="M17" s="14">
        <f>L17*$G$25*RiskFactors!$C$24</f>
        <v>12.602504809322911</v>
      </c>
      <c r="U17" s="11">
        <f t="shared" si="2"/>
        <v>1</v>
      </c>
      <c r="V17" s="11">
        <f t="shared" si="3"/>
        <v>7.1428571428571425E-2</v>
      </c>
      <c r="X17" s="12">
        <f t="shared" si="4"/>
        <v>1.916983472681709E-3</v>
      </c>
      <c r="Y17" s="12">
        <f t="shared" si="8"/>
        <v>1.9411578019896355E-3</v>
      </c>
      <c r="Z17" s="12">
        <f t="shared" si="9"/>
        <v>9.6441441166383868E-6</v>
      </c>
    </row>
    <row r="18" spans="2:26" x14ac:dyDescent="0.2">
      <c r="F18" s="15">
        <f t="shared" si="0"/>
        <v>7</v>
      </c>
      <c r="G18" s="30">
        <f t="shared" si="1"/>
        <v>120.00017000000003</v>
      </c>
      <c r="H18" s="31">
        <f t="shared" si="5"/>
        <v>0.49924487885570601</v>
      </c>
      <c r="I18" s="17">
        <v>0</v>
      </c>
      <c r="J18" s="16">
        <v>1</v>
      </c>
      <c r="K18" s="15">
        <f t="shared" si="6"/>
        <v>9</v>
      </c>
      <c r="L18" s="15">
        <f t="shared" si="7"/>
        <v>9</v>
      </c>
      <c r="M18" s="14">
        <f>L18*$G$25*RiskFactors!$C$24</f>
        <v>12.602504809322911</v>
      </c>
      <c r="U18" s="11">
        <f t="shared" si="2"/>
        <v>1</v>
      </c>
      <c r="V18" s="11">
        <f t="shared" si="3"/>
        <v>7.1428571428571425E-2</v>
      </c>
      <c r="X18" s="12">
        <f t="shared" si="4"/>
        <v>1.8928091412948446E-3</v>
      </c>
      <c r="Y18" s="12">
        <f t="shared" si="8"/>
        <v>1.916983472681709E-3</v>
      </c>
      <c r="Z18" s="12">
        <f t="shared" si="9"/>
        <v>9.6441453929507759E-6</v>
      </c>
    </row>
    <row r="19" spans="2:26" x14ac:dyDescent="0.2">
      <c r="B19" s="5" t="s">
        <v>43</v>
      </c>
      <c r="C19" s="4"/>
      <c r="D19" s="5"/>
      <c r="F19" s="15">
        <f t="shared" si="0"/>
        <v>6</v>
      </c>
      <c r="G19" s="30">
        <f t="shared" si="1"/>
        <v>120.00016000000002</v>
      </c>
      <c r="H19" s="31">
        <f t="shared" si="5"/>
        <v>0.4992545230023181</v>
      </c>
      <c r="I19" s="17">
        <v>0</v>
      </c>
      <c r="J19" s="16">
        <v>1</v>
      </c>
      <c r="K19" s="15">
        <f t="shared" si="6"/>
        <v>9</v>
      </c>
      <c r="L19" s="15">
        <f t="shared" si="7"/>
        <v>9</v>
      </c>
      <c r="M19" s="14">
        <f>L19*$G$25*RiskFactors!$C$24</f>
        <v>12.602504809322911</v>
      </c>
      <c r="U19" s="11">
        <f t="shared" si="2"/>
        <v>1</v>
      </c>
      <c r="V19" s="11">
        <f t="shared" si="3"/>
        <v>7.1428571428571425E-2</v>
      </c>
      <c r="X19" s="12">
        <f t="shared" si="4"/>
        <v>1.8686348079578689E-3</v>
      </c>
      <c r="Y19" s="12">
        <f t="shared" si="8"/>
        <v>1.8928091412948446E-3</v>
      </c>
      <c r="Z19" s="12">
        <f t="shared" si="9"/>
        <v>9.6441466120866792E-6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 t="shared" si="0"/>
        <v>5</v>
      </c>
      <c r="G20" s="30">
        <f t="shared" si="1"/>
        <v>120.00015000000002</v>
      </c>
      <c r="H20" s="31">
        <f t="shared" si="5"/>
        <v>0.49926416715016964</v>
      </c>
      <c r="I20" s="17">
        <v>0</v>
      </c>
      <c r="J20" s="16">
        <v>1</v>
      </c>
      <c r="K20" s="15">
        <f t="shared" si="6"/>
        <v>9</v>
      </c>
      <c r="L20" s="15">
        <f t="shared" si="7"/>
        <v>9</v>
      </c>
      <c r="M20" s="14">
        <f>L20*$G$25*RiskFactors!$C$24</f>
        <v>12.602504809322911</v>
      </c>
      <c r="U20" s="11">
        <f t="shared" si="2"/>
        <v>1</v>
      </c>
      <c r="V20" s="11">
        <f t="shared" si="3"/>
        <v>7.1428571428571425E-2</v>
      </c>
      <c r="X20" s="12">
        <f t="shared" si="4"/>
        <v>1.8444604726063679E-3</v>
      </c>
      <c r="Y20" s="12">
        <f t="shared" si="8"/>
        <v>1.8686348079578689E-3</v>
      </c>
      <c r="Z20" s="12">
        <f t="shared" si="9"/>
        <v>9.6441478515396639E-6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 t="shared" si="0"/>
        <v>4</v>
      </c>
      <c r="G21" s="30">
        <f t="shared" si="1"/>
        <v>120.00014000000002</v>
      </c>
      <c r="H21" s="31">
        <f t="shared" si="5"/>
        <v>0.4992738112992805</v>
      </c>
      <c r="I21" s="17">
        <v>0</v>
      </c>
      <c r="J21" s="16">
        <v>1</v>
      </c>
      <c r="K21" s="15">
        <f t="shared" si="6"/>
        <v>9</v>
      </c>
      <c r="L21" s="15">
        <f t="shared" si="7"/>
        <v>9</v>
      </c>
      <c r="M21" s="14">
        <f>L21*$G$25*RiskFactors!$C$24</f>
        <v>12.602504809322911</v>
      </c>
      <c r="U21" s="11">
        <f t="shared" si="2"/>
        <v>1</v>
      </c>
      <c r="V21" s="11">
        <f t="shared" si="3"/>
        <v>7.1428571428571425E-2</v>
      </c>
      <c r="X21" s="12">
        <f t="shared" si="4"/>
        <v>1.8202861351759281E-3</v>
      </c>
      <c r="Y21" s="12">
        <f t="shared" si="8"/>
        <v>1.8444604726063679E-3</v>
      </c>
      <c r="Z21" s="12">
        <f t="shared" si="9"/>
        <v>9.6441491108656408E-6</v>
      </c>
    </row>
    <row r="22" spans="2:26" x14ac:dyDescent="0.2">
      <c r="B22" s="15" t="s">
        <v>39</v>
      </c>
      <c r="C22" s="20">
        <f>SUMPRODUCT(G3:G33,H3:H33,I3:I33)</f>
        <v>2995.7039780400232</v>
      </c>
      <c r="D22" s="15" t="str">
        <f>$C$15&amp;"-siskas"</f>
        <v>USD-siskas</v>
      </c>
      <c r="F22" s="15">
        <f t="shared" si="0"/>
        <v>3</v>
      </c>
      <c r="G22" s="30">
        <f t="shared" si="1"/>
        <v>120.00013000000001</v>
      </c>
      <c r="H22" s="31">
        <f t="shared" si="5"/>
        <v>0.49928345544959374</v>
      </c>
      <c r="I22" s="17">
        <v>50</v>
      </c>
      <c r="J22" s="16">
        <v>0</v>
      </c>
      <c r="K22" s="15">
        <f t="shared" si="6"/>
        <v>0</v>
      </c>
      <c r="L22" s="15">
        <f t="shared" si="7"/>
        <v>50</v>
      </c>
      <c r="M22" s="14">
        <f>L22*$G$25*RiskFactors!$C$24</f>
        <v>70.013915607349503</v>
      </c>
      <c r="U22" s="11">
        <f t="shared" si="2"/>
        <v>0</v>
      </c>
      <c r="V22" s="11">
        <f t="shared" si="3"/>
        <v>0</v>
      </c>
      <c r="X22" s="12">
        <f t="shared" si="4"/>
        <v>1.7961117957953755E-3</v>
      </c>
      <c r="Y22" s="12">
        <f t="shared" si="8"/>
        <v>1.8202861351759281E-3</v>
      </c>
      <c r="Z22" s="12">
        <f t="shared" si="9"/>
        <v>9.6441503132371764E-6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 t="shared" si="0"/>
        <v>2</v>
      </c>
      <c r="G23" s="30">
        <f t="shared" si="1"/>
        <v>120.00012000000001</v>
      </c>
      <c r="H23" s="31">
        <f t="shared" si="5"/>
        <v>0.49929309960112933</v>
      </c>
      <c r="I23" s="17">
        <v>0</v>
      </c>
      <c r="J23" s="16">
        <v>0</v>
      </c>
      <c r="K23" s="15">
        <f t="shared" si="6"/>
        <v>0</v>
      </c>
      <c r="L23" s="15">
        <f t="shared" si="7"/>
        <v>0</v>
      </c>
      <c r="M23" s="14">
        <f>L23*$G$25*RiskFactors!$C$24</f>
        <v>0</v>
      </c>
      <c r="U23" s="11">
        <f t="shared" si="2"/>
        <v>0</v>
      </c>
      <c r="V23" s="11">
        <f t="shared" si="3"/>
        <v>0</v>
      </c>
      <c r="X23" s="12">
        <f t="shared" si="4"/>
        <v>1.771937454400297E-3</v>
      </c>
      <c r="Y23" s="12">
        <f t="shared" si="8"/>
        <v>1.7961117957953755E-3</v>
      </c>
      <c r="Z23" s="12">
        <f t="shared" si="9"/>
        <v>9.6441515355927265E-6</v>
      </c>
    </row>
    <row r="24" spans="2:26" x14ac:dyDescent="0.2">
      <c r="B24" s="15" t="s">
        <v>37</v>
      </c>
      <c r="C24" s="20">
        <f>MAX(C21-C22,0)</f>
        <v>7004.2960219599772</v>
      </c>
      <c r="D24" s="15" t="str">
        <f>$C$15&amp;"-siskas"</f>
        <v>USD-siskas</v>
      </c>
      <c r="F24" s="15">
        <v>1</v>
      </c>
      <c r="G24" s="30">
        <f t="shared" si="1"/>
        <v>120.00011000000001</v>
      </c>
      <c r="H24" s="31">
        <f t="shared" si="5"/>
        <v>0.49930274375390749</v>
      </c>
      <c r="I24" s="17">
        <v>0</v>
      </c>
      <c r="J24" s="16">
        <v>0</v>
      </c>
      <c r="K24" s="15">
        <f t="shared" si="6"/>
        <v>0</v>
      </c>
      <c r="L24" s="15">
        <f t="shared" si="7"/>
        <v>0</v>
      </c>
      <c r="M24" s="14">
        <f>L24*$G$25*RiskFactors!$C$24</f>
        <v>0</v>
      </c>
      <c r="U24" s="11">
        <f t="shared" si="2"/>
        <v>0</v>
      </c>
      <c r="V24" s="11">
        <f t="shared" si="3"/>
        <v>0</v>
      </c>
      <c r="X24" s="25">
        <f t="shared" si="4"/>
        <v>1.7477631109262786E-3</v>
      </c>
      <c r="Y24" s="12">
        <f t="shared" si="8"/>
        <v>1.771937454400297E-3</v>
      </c>
      <c r="Z24" s="12">
        <f t="shared" si="9"/>
        <v>9.6441527781543357E-6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120.0001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 t="shared" si="4"/>
        <v>1.7235887655021468E-3</v>
      </c>
      <c r="Y25" s="22">
        <f t="shared" si="8"/>
        <v>1.7477631109262786E-3</v>
      </c>
      <c r="Z25" s="22">
        <f t="shared" si="9"/>
        <v>9.6441539636504814E-6</v>
      </c>
    </row>
    <row r="26" spans="2:26" x14ac:dyDescent="0.2">
      <c r="B26" s="15" t="s">
        <v>30</v>
      </c>
      <c r="C26" s="15">
        <f>SUM(U3:U33)</f>
        <v>14</v>
      </c>
      <c r="D26" s="21" t="s">
        <v>28</v>
      </c>
      <c r="F26" s="15">
        <f>1</f>
        <v>1</v>
      </c>
      <c r="G26" s="30">
        <f t="shared" ref="G26:G45" si="10">G25-$C$14</f>
        <v>120.00009</v>
      </c>
      <c r="H26" s="31">
        <f t="shared" ref="H26:H45" si="11">_xlfn.NORM.DIST(X26,0,1,TRUE)</f>
        <v>0.50067796793694685</v>
      </c>
      <c r="I26" s="17">
        <v>0</v>
      </c>
      <c r="J26" s="16">
        <v>0</v>
      </c>
      <c r="K26" s="15">
        <f t="shared" ref="K26:K45" si="12">IF(H26&lt;0.0000000001,0,CEILING($C$25*V26/H26/G26,1))</f>
        <v>0</v>
      </c>
      <c r="L26" s="15">
        <f t="shared" ref="L26:L45" si="13">K26+I26</f>
        <v>0</v>
      </c>
      <c r="M26" s="14">
        <f>L26*$G$25*RiskFactors!$C$25</f>
        <v>0</v>
      </c>
      <c r="U26" s="11">
        <f t="shared" ref="U26:U45" si="14">IF(H26&lt;0.0000000001,0,J26)</f>
        <v>0</v>
      </c>
      <c r="V26" s="11">
        <f t="shared" ref="V26:V45" si="15">IF(H26&lt;0.0000000001,0,J26/$C$27)</f>
        <v>0</v>
      </c>
      <c r="X26" s="12">
        <f t="shared" si="4"/>
        <v>1.6994144180312808E-3</v>
      </c>
      <c r="Y26" s="12">
        <f t="shared" si="8"/>
        <v>1.7235887655021468E-3</v>
      </c>
      <c r="Z26" s="12">
        <f t="shared" si="9"/>
        <v>9.6441551820092286E-6</v>
      </c>
    </row>
    <row r="27" spans="2:26" x14ac:dyDescent="0.2">
      <c r="B27" s="15" t="s">
        <v>29</v>
      </c>
      <c r="C27" s="15">
        <f>SUM(U26:U177)</f>
        <v>9</v>
      </c>
      <c r="D27" s="21" t="s">
        <v>28</v>
      </c>
      <c r="F27" s="15">
        <f t="shared" ref="F27:F45" si="16">1+F26</f>
        <v>2</v>
      </c>
      <c r="G27" s="30">
        <f t="shared" si="10"/>
        <v>120.00008</v>
      </c>
      <c r="H27" s="31">
        <f t="shared" si="11"/>
        <v>0.5006683237805778</v>
      </c>
      <c r="I27" s="17">
        <v>0</v>
      </c>
      <c r="J27" s="16">
        <v>1</v>
      </c>
      <c r="K27" s="15">
        <f t="shared" si="12"/>
        <v>19</v>
      </c>
      <c r="L27" s="15">
        <f t="shared" si="13"/>
        <v>19</v>
      </c>
      <c r="M27" s="14">
        <f>L27*$G$25*RiskFactors!$C$25</f>
        <v>26.323377550710276</v>
      </c>
      <c r="U27" s="11">
        <f t="shared" si="14"/>
        <v>1</v>
      </c>
      <c r="V27" s="11">
        <f t="shared" si="15"/>
        <v>0.1111111111111111</v>
      </c>
      <c r="X27" s="12">
        <f t="shared" si="4"/>
        <v>1.6752400685780943E-3</v>
      </c>
      <c r="Y27" s="12">
        <f t="shared" si="8"/>
        <v>1.6994144180312808E-3</v>
      </c>
      <c r="Z27" s="12">
        <f t="shared" si="9"/>
        <v>9.6441563690596865E-6</v>
      </c>
    </row>
    <row r="28" spans="2:26" x14ac:dyDescent="0.2">
      <c r="B28" s="15" t="s">
        <v>27</v>
      </c>
      <c r="C28" s="20">
        <f>SUMPRODUCT(G3:G33,H3:H33,L3:L33)</f>
        <v>14760.208623578588</v>
      </c>
      <c r="D28" s="19" t="s">
        <v>25</v>
      </c>
      <c r="F28" s="15">
        <f t="shared" si="16"/>
        <v>3</v>
      </c>
      <c r="G28" s="30">
        <f t="shared" si="10"/>
        <v>120.00006999999999</v>
      </c>
      <c r="H28" s="31">
        <f t="shared" si="11"/>
        <v>0.5006586796230017</v>
      </c>
      <c r="I28" s="17">
        <v>0</v>
      </c>
      <c r="J28" s="16">
        <v>1</v>
      </c>
      <c r="K28" s="15">
        <f t="shared" si="12"/>
        <v>19</v>
      </c>
      <c r="L28" s="15">
        <f t="shared" si="13"/>
        <v>19</v>
      </c>
      <c r="M28" s="14">
        <f>L28*$G$25*RiskFactors!$C$25</f>
        <v>26.323377550710276</v>
      </c>
      <c r="U28" s="11">
        <f t="shared" si="14"/>
        <v>1</v>
      </c>
      <c r="V28" s="11">
        <f t="shared" si="15"/>
        <v>0.1111111111111111</v>
      </c>
      <c r="X28" s="12">
        <f t="shared" si="4"/>
        <v>1.6510657170781731E-3</v>
      </c>
      <c r="Y28" s="12">
        <f t="shared" si="8"/>
        <v>1.6752400685780943E-3</v>
      </c>
      <c r="Z28" s="12">
        <f t="shared" si="9"/>
        <v>9.6441575760941589E-6</v>
      </c>
    </row>
    <row r="29" spans="2:26" x14ac:dyDescent="0.2">
      <c r="B29" s="15" t="s">
        <v>26</v>
      </c>
      <c r="C29" s="20">
        <f>SUMPRODUCT(G26:G177,H26:H177,L26:L177)</f>
        <v>10272.925835715319</v>
      </c>
      <c r="D29" s="19" t="s">
        <v>25</v>
      </c>
      <c r="F29" s="15">
        <f t="shared" si="16"/>
        <v>4</v>
      </c>
      <c r="G29" s="30">
        <f t="shared" si="10"/>
        <v>120.00005999999999</v>
      </c>
      <c r="H29" s="31">
        <f t="shared" si="11"/>
        <v>0.500649035464237</v>
      </c>
      <c r="I29" s="17">
        <v>0</v>
      </c>
      <c r="J29" s="16">
        <v>1</v>
      </c>
      <c r="K29" s="15">
        <f t="shared" si="12"/>
        <v>19</v>
      </c>
      <c r="L29" s="15">
        <f t="shared" si="13"/>
        <v>19</v>
      </c>
      <c r="M29" s="14">
        <f>L29*$G$25*RiskFactors!$C$25</f>
        <v>26.323377550710276</v>
      </c>
      <c r="U29" s="11">
        <f t="shared" si="14"/>
        <v>1</v>
      </c>
      <c r="V29" s="11">
        <f t="shared" si="15"/>
        <v>0.1111111111111111</v>
      </c>
      <c r="X29" s="12">
        <f t="shared" si="4"/>
        <v>1.6268913635637235E-3</v>
      </c>
      <c r="Y29" s="12">
        <f t="shared" si="8"/>
        <v>1.6510657170781731E-3</v>
      </c>
      <c r="Z29" s="12">
        <f t="shared" si="9"/>
        <v>9.6441587646989291E-6</v>
      </c>
    </row>
    <row r="30" spans="2:26" x14ac:dyDescent="0.2">
      <c r="F30" s="15">
        <f t="shared" si="16"/>
        <v>5</v>
      </c>
      <c r="G30" s="30">
        <f t="shared" si="10"/>
        <v>120.00004999999999</v>
      </c>
      <c r="H30" s="31">
        <f t="shared" si="11"/>
        <v>0.50063939130430213</v>
      </c>
      <c r="I30" s="17">
        <v>0</v>
      </c>
      <c r="J30" s="16">
        <v>1</v>
      </c>
      <c r="K30" s="15">
        <f t="shared" si="12"/>
        <v>19</v>
      </c>
      <c r="L30" s="15">
        <f t="shared" si="13"/>
        <v>19</v>
      </c>
      <c r="M30" s="14">
        <f>L30*$G$25*RiskFactors!$C$25</f>
        <v>26.323377550710276</v>
      </c>
      <c r="U30" s="11">
        <f t="shared" si="14"/>
        <v>1</v>
      </c>
      <c r="V30" s="11">
        <f t="shared" si="15"/>
        <v>0.1111111111111111</v>
      </c>
      <c r="X30" s="12">
        <f t="shared" si="4"/>
        <v>1.6027170080669525E-3</v>
      </c>
      <c r="Y30" s="12">
        <f t="shared" si="8"/>
        <v>1.6268913635637235E-3</v>
      </c>
      <c r="Z30" s="12">
        <f t="shared" si="9"/>
        <v>9.644159934873997E-6</v>
      </c>
    </row>
    <row r="31" spans="2:26" x14ac:dyDescent="0.2">
      <c r="B31" s="5" t="s">
        <v>24</v>
      </c>
      <c r="C31" s="4"/>
      <c r="D31" s="5"/>
      <c r="F31" s="15">
        <f t="shared" si="16"/>
        <v>6</v>
      </c>
      <c r="G31" s="30">
        <f t="shared" si="10"/>
        <v>120.00003999999998</v>
      </c>
      <c r="H31" s="31">
        <f t="shared" si="11"/>
        <v>0.5006297471431771</v>
      </c>
      <c r="I31" s="17">
        <v>0</v>
      </c>
      <c r="J31" s="16">
        <v>1</v>
      </c>
      <c r="K31" s="15">
        <f t="shared" si="12"/>
        <v>19</v>
      </c>
      <c r="L31" s="15">
        <f t="shared" si="13"/>
        <v>19</v>
      </c>
      <c r="M31" s="14">
        <f>L31*$G$25*RiskFactors!$C$25</f>
        <v>26.323377550710276</v>
      </c>
      <c r="U31" s="11">
        <f t="shared" si="14"/>
        <v>1</v>
      </c>
      <c r="V31" s="11">
        <f t="shared" si="15"/>
        <v>0.1111111111111111</v>
      </c>
      <c r="X31" s="12">
        <f t="shared" si="4"/>
        <v>1.5785426505234457E-3</v>
      </c>
      <c r="Y31" s="12">
        <f t="shared" si="8"/>
        <v>1.6027170080669525E-3</v>
      </c>
      <c r="Z31" s="12">
        <f t="shared" si="9"/>
        <v>9.6441611250330794E-6</v>
      </c>
    </row>
    <row r="32" spans="2:26" x14ac:dyDescent="0.2">
      <c r="B32" s="15" t="s">
        <v>23</v>
      </c>
      <c r="C32" s="18">
        <f>SUM(M3:M33)</f>
        <v>342.49509212758193</v>
      </c>
      <c r="D32" s="15" t="str">
        <f>C15</f>
        <v>USD</v>
      </c>
      <c r="F32" s="15">
        <f t="shared" si="16"/>
        <v>7</v>
      </c>
      <c r="G32" s="30">
        <f t="shared" si="10"/>
        <v>120.00002999999998</v>
      </c>
      <c r="H32" s="31">
        <f t="shared" si="11"/>
        <v>0.50062010298089321</v>
      </c>
      <c r="I32" s="17">
        <v>0</v>
      </c>
      <c r="J32" s="16">
        <v>1</v>
      </c>
      <c r="K32" s="15">
        <f t="shared" si="12"/>
        <v>19</v>
      </c>
      <c r="L32" s="15">
        <f t="shared" si="13"/>
        <v>19</v>
      </c>
      <c r="M32" s="14">
        <f>L32*$G$25*RiskFactors!$C$25</f>
        <v>26.323377550710276</v>
      </c>
      <c r="U32" s="11">
        <f t="shared" si="14"/>
        <v>1</v>
      </c>
      <c r="V32" s="11">
        <f t="shared" si="15"/>
        <v>0.1111111111111111</v>
      </c>
      <c r="X32" s="12">
        <f t="shared" si="4"/>
        <v>1.5543682909976164E-3</v>
      </c>
      <c r="Y32" s="12">
        <f t="shared" si="8"/>
        <v>1.5785426505234457E-3</v>
      </c>
      <c r="Z32" s="12">
        <f t="shared" si="9"/>
        <v>9.6441622838838725E-6</v>
      </c>
    </row>
    <row r="33" spans="2:26" x14ac:dyDescent="0.2">
      <c r="B33" s="15" t="s">
        <v>22</v>
      </c>
      <c r="C33" s="18">
        <f>SUM(M26:M177)</f>
        <v>1413.9435433587835</v>
      </c>
      <c r="D33" s="15" t="str">
        <f>C15</f>
        <v>USD</v>
      </c>
      <c r="F33" s="15">
        <f t="shared" si="16"/>
        <v>8</v>
      </c>
      <c r="G33" s="30">
        <f t="shared" si="10"/>
        <v>120.00001999999998</v>
      </c>
      <c r="H33" s="31">
        <f t="shared" si="11"/>
        <v>0.50061045881743038</v>
      </c>
      <c r="I33" s="17">
        <v>0</v>
      </c>
      <c r="J33" s="16">
        <v>1</v>
      </c>
      <c r="K33" s="15">
        <f t="shared" si="12"/>
        <v>19</v>
      </c>
      <c r="L33" s="15">
        <f t="shared" si="13"/>
        <v>19</v>
      </c>
      <c r="M33" s="14">
        <f>L33*$G$25*RiskFactors!$C$25</f>
        <v>26.323377550710276</v>
      </c>
      <c r="U33" s="11">
        <f t="shared" si="14"/>
        <v>1</v>
      </c>
      <c r="V33" s="11">
        <f t="shared" si="15"/>
        <v>0.1111111111111111</v>
      </c>
      <c r="X33" s="12">
        <f t="shared" si="4"/>
        <v>1.5301939294250508E-3</v>
      </c>
      <c r="Y33" s="12">
        <f t="shared" si="8"/>
        <v>1.5543682909976164E-3</v>
      </c>
      <c r="Z33" s="12">
        <f t="shared" si="9"/>
        <v>9.6441634628297024E-6</v>
      </c>
    </row>
    <row r="34" spans="2:26" x14ac:dyDescent="0.2">
      <c r="F34" s="15">
        <f t="shared" si="16"/>
        <v>9</v>
      </c>
      <c r="G34" s="30">
        <f t="shared" si="10"/>
        <v>120.00000999999997</v>
      </c>
      <c r="H34" s="31">
        <f t="shared" si="11"/>
        <v>0.50060081465280715</v>
      </c>
      <c r="I34" s="17">
        <v>0</v>
      </c>
      <c r="J34" s="16">
        <v>1</v>
      </c>
      <c r="K34" s="15">
        <f t="shared" si="12"/>
        <v>19</v>
      </c>
      <c r="L34" s="15">
        <f t="shared" si="13"/>
        <v>19</v>
      </c>
      <c r="M34" s="14">
        <f>L34*$G$25*RiskFactors!$C$25</f>
        <v>26.323377550710276</v>
      </c>
      <c r="U34" s="11">
        <f t="shared" si="14"/>
        <v>1</v>
      </c>
      <c r="V34" s="11">
        <f t="shared" si="15"/>
        <v>0.1111111111111111</v>
      </c>
      <c r="X34" s="12">
        <f t="shared" si="4"/>
        <v>1.5060195658379554E-3</v>
      </c>
      <c r="Y34" s="12">
        <f t="shared" si="8"/>
        <v>1.5301939294250508E-3</v>
      </c>
      <c r="Z34" s="12">
        <f t="shared" si="9"/>
        <v>9.6441646232348077E-6</v>
      </c>
    </row>
    <row r="35" spans="2:26" x14ac:dyDescent="0.2">
      <c r="B35" s="5" t="s">
        <v>21</v>
      </c>
      <c r="C35" s="4"/>
      <c r="D35" s="5"/>
      <c r="F35" s="15">
        <f t="shared" si="16"/>
        <v>10</v>
      </c>
      <c r="G35" s="30">
        <f t="shared" si="10"/>
        <v>119.99999999999997</v>
      </c>
      <c r="H35" s="31">
        <f t="shared" si="11"/>
        <v>0.50059117048704194</v>
      </c>
      <c r="I35" s="17">
        <v>0</v>
      </c>
      <c r="J35" s="16">
        <v>1</v>
      </c>
      <c r="K35" s="15">
        <f t="shared" si="12"/>
        <v>19</v>
      </c>
      <c r="L35" s="15">
        <f t="shared" si="13"/>
        <v>19</v>
      </c>
      <c r="M35" s="14">
        <f>L35*$G$25*RiskFactors!$C$25</f>
        <v>26.323377550710276</v>
      </c>
      <c r="U35" s="11">
        <f t="shared" si="14"/>
        <v>1</v>
      </c>
      <c r="V35" s="11">
        <f t="shared" si="15"/>
        <v>0.1111111111111111</v>
      </c>
      <c r="X35" s="12">
        <f t="shared" si="4"/>
        <v>1.4818452002685364E-3</v>
      </c>
      <c r="Y35" s="12">
        <f t="shared" si="8"/>
        <v>1.5060195658379554E-3</v>
      </c>
      <c r="Z35" s="12">
        <f t="shared" si="9"/>
        <v>9.6441657652102109E-6</v>
      </c>
    </row>
    <row r="36" spans="2:26" x14ac:dyDescent="0.2">
      <c r="B36" s="15" t="s">
        <v>20</v>
      </c>
      <c r="C36" s="14">
        <f>C20+SUM(C32:C33)</f>
        <v>11756.438635486365</v>
      </c>
      <c r="D36" s="15" t="str">
        <f>C15</f>
        <v>USD</v>
      </c>
      <c r="F36" s="15">
        <f t="shared" si="16"/>
        <v>11</v>
      </c>
      <c r="G36" s="30">
        <f t="shared" si="10"/>
        <v>119.99998999999997</v>
      </c>
      <c r="H36" s="31">
        <f t="shared" si="11"/>
        <v>0.50058152632011477</v>
      </c>
      <c r="I36" s="17">
        <v>0</v>
      </c>
      <c r="J36" s="16">
        <v>0</v>
      </c>
      <c r="K36" s="15">
        <f t="shared" si="12"/>
        <v>0</v>
      </c>
      <c r="L36" s="15">
        <f t="shared" si="13"/>
        <v>0</v>
      </c>
      <c r="M36" s="14">
        <f>L36*$G$25*RiskFactors!$C$25</f>
        <v>0</v>
      </c>
      <c r="U36" s="11">
        <f t="shared" si="14"/>
        <v>0</v>
      </c>
      <c r="V36" s="11">
        <f t="shared" si="15"/>
        <v>0</v>
      </c>
      <c r="X36" s="12">
        <f t="shared" si="4"/>
        <v>1.4576708326523801E-3</v>
      </c>
      <c r="Y36" s="12">
        <f t="shared" si="8"/>
        <v>1.4818452002685364E-3</v>
      </c>
      <c r="Z36" s="12">
        <f t="shared" si="9"/>
        <v>9.6441669271696284E-6</v>
      </c>
    </row>
    <row r="37" spans="2:26" x14ac:dyDescent="0.2">
      <c r="F37" s="15">
        <f t="shared" si="16"/>
        <v>12</v>
      </c>
      <c r="G37" s="30">
        <f t="shared" si="10"/>
        <v>119.99997999999997</v>
      </c>
      <c r="H37" s="31">
        <f t="shared" si="11"/>
        <v>0.50057188215204396</v>
      </c>
      <c r="I37" s="17">
        <v>0</v>
      </c>
      <c r="J37" s="16">
        <v>0</v>
      </c>
      <c r="K37" s="15">
        <f t="shared" si="12"/>
        <v>0</v>
      </c>
      <c r="L37" s="15">
        <f t="shared" si="13"/>
        <v>0</v>
      </c>
      <c r="M37" s="14">
        <f>L37*$G$25*RiskFactors!$C$25</f>
        <v>0</v>
      </c>
      <c r="U37" s="11">
        <f t="shared" si="14"/>
        <v>0</v>
      </c>
      <c r="V37" s="11">
        <f t="shared" si="15"/>
        <v>0</v>
      </c>
      <c r="X37" s="12">
        <f t="shared" si="4"/>
        <v>1.4334964630216931E-3</v>
      </c>
      <c r="Y37" s="12">
        <f t="shared" si="8"/>
        <v>1.4576708326523801E-3</v>
      </c>
      <c r="Z37" s="12">
        <f t="shared" si="9"/>
        <v>9.6441680708103661E-6</v>
      </c>
    </row>
    <row r="38" spans="2:26" x14ac:dyDescent="0.2">
      <c r="F38" s="15">
        <f t="shared" si="16"/>
        <v>13</v>
      </c>
      <c r="G38" s="30">
        <f t="shared" si="10"/>
        <v>119.99996999999996</v>
      </c>
      <c r="H38" s="31">
        <f t="shared" si="11"/>
        <v>0.50056223798284827</v>
      </c>
      <c r="I38" s="17">
        <v>0</v>
      </c>
      <c r="J38" s="16">
        <v>0</v>
      </c>
      <c r="K38" s="15">
        <f t="shared" si="12"/>
        <v>0</v>
      </c>
      <c r="L38" s="15">
        <f t="shared" si="13"/>
        <v>0</v>
      </c>
      <c r="M38" s="14">
        <f>L38*$G$25*RiskFactors!$C$25</f>
        <v>0</v>
      </c>
      <c r="U38" s="11">
        <f t="shared" si="14"/>
        <v>0</v>
      </c>
      <c r="V38" s="11">
        <f t="shared" si="15"/>
        <v>0</v>
      </c>
      <c r="X38" s="12">
        <f t="shared" si="4"/>
        <v>1.4093220914086816E-3</v>
      </c>
      <c r="Y38" s="12">
        <f t="shared" si="8"/>
        <v>1.4334964630216931E-3</v>
      </c>
      <c r="Z38" s="12">
        <f t="shared" si="9"/>
        <v>9.6441691956883346E-6</v>
      </c>
    </row>
    <row r="39" spans="2:26" x14ac:dyDescent="0.2">
      <c r="F39" s="15">
        <f t="shared" si="16"/>
        <v>14</v>
      </c>
      <c r="G39" s="30">
        <f t="shared" si="10"/>
        <v>119.99995999999996</v>
      </c>
      <c r="H39" s="31">
        <f t="shared" si="11"/>
        <v>0.50055259381250738</v>
      </c>
      <c r="I39" s="17">
        <v>0</v>
      </c>
      <c r="J39" s="16">
        <v>0</v>
      </c>
      <c r="K39" s="15">
        <f t="shared" si="12"/>
        <v>0</v>
      </c>
      <c r="L39" s="15">
        <f t="shared" si="13"/>
        <v>0</v>
      </c>
      <c r="M39" s="14">
        <f>L39*$G$25*RiskFactors!$C$25</f>
        <v>0</v>
      </c>
      <c r="U39" s="11">
        <f t="shared" si="14"/>
        <v>0</v>
      </c>
      <c r="V39" s="11">
        <f t="shared" si="15"/>
        <v>0</v>
      </c>
      <c r="X39" s="12">
        <f t="shared" si="4"/>
        <v>1.3851477177489317E-3</v>
      </c>
      <c r="Y39" s="12">
        <f t="shared" si="8"/>
        <v>1.4093220914086816E-3</v>
      </c>
      <c r="Z39" s="12">
        <f t="shared" si="9"/>
        <v>9.6441703408833845E-6</v>
      </c>
    </row>
    <row r="40" spans="2:26" x14ac:dyDescent="0.2">
      <c r="F40" s="15">
        <f t="shared" si="16"/>
        <v>15</v>
      </c>
      <c r="G40" s="30">
        <f t="shared" si="10"/>
        <v>119.99994999999996</v>
      </c>
      <c r="H40" s="31">
        <f t="shared" si="11"/>
        <v>0.50054294964103985</v>
      </c>
      <c r="I40" s="17">
        <v>0</v>
      </c>
      <c r="J40" s="16">
        <v>0</v>
      </c>
      <c r="K40" s="15">
        <f t="shared" si="12"/>
        <v>0</v>
      </c>
      <c r="L40" s="15">
        <f t="shared" si="13"/>
        <v>0</v>
      </c>
      <c r="M40" s="14">
        <f>L40*$G$25*RiskFactors!$C$25</f>
        <v>0</v>
      </c>
      <c r="U40" s="11">
        <f t="shared" si="14"/>
        <v>0</v>
      </c>
      <c r="V40" s="11">
        <f t="shared" si="15"/>
        <v>0</v>
      </c>
      <c r="X40" s="12">
        <f t="shared" si="4"/>
        <v>1.3609733420746498E-3</v>
      </c>
      <c r="Y40" s="12">
        <f t="shared" si="8"/>
        <v>1.3851477177489317E-3</v>
      </c>
      <c r="Z40" s="12">
        <f t="shared" si="9"/>
        <v>9.6441714675377099E-6</v>
      </c>
    </row>
    <row r="41" spans="2:26" x14ac:dyDescent="0.2">
      <c r="F41" s="15">
        <f t="shared" si="16"/>
        <v>16</v>
      </c>
      <c r="G41" s="30">
        <f t="shared" si="10"/>
        <v>119.99993999999995</v>
      </c>
      <c r="H41" s="31">
        <f t="shared" si="11"/>
        <v>0.5005333054684642</v>
      </c>
      <c r="I41" s="17">
        <v>0</v>
      </c>
      <c r="J41" s="16">
        <v>0</v>
      </c>
      <c r="K41" s="15">
        <f t="shared" si="12"/>
        <v>0</v>
      </c>
      <c r="L41" s="15">
        <f t="shared" si="13"/>
        <v>0</v>
      </c>
      <c r="M41" s="14">
        <f>L41*$G$25*RiskFactors!$C$25</f>
        <v>0</v>
      </c>
      <c r="U41" s="11">
        <f t="shared" si="14"/>
        <v>0</v>
      </c>
      <c r="V41" s="11">
        <f t="shared" si="15"/>
        <v>0</v>
      </c>
      <c r="X41" s="12">
        <f t="shared" si="4"/>
        <v>1.3367989644180425E-3</v>
      </c>
      <c r="Y41" s="12">
        <f t="shared" si="8"/>
        <v>1.3609733420746498E-3</v>
      </c>
      <c r="Z41" s="12">
        <f t="shared" si="9"/>
        <v>9.6441725756513108E-6</v>
      </c>
    </row>
    <row r="42" spans="2:26" x14ac:dyDescent="0.2">
      <c r="F42" s="15">
        <f t="shared" si="16"/>
        <v>17</v>
      </c>
      <c r="G42" s="30">
        <f t="shared" si="10"/>
        <v>119.99992999999995</v>
      </c>
      <c r="H42" s="31">
        <f t="shared" si="11"/>
        <v>0.50052366129476045</v>
      </c>
      <c r="I42" s="17">
        <v>0</v>
      </c>
      <c r="J42" s="16">
        <v>0</v>
      </c>
      <c r="K42" s="15">
        <f t="shared" si="12"/>
        <v>0</v>
      </c>
      <c r="L42" s="15">
        <f t="shared" si="13"/>
        <v>0</v>
      </c>
      <c r="M42" s="14">
        <f>L42*$G$25*RiskFactors!$C$25</f>
        <v>0</v>
      </c>
      <c r="U42" s="11">
        <f t="shared" si="14"/>
        <v>0</v>
      </c>
      <c r="V42" s="11">
        <f t="shared" si="15"/>
        <v>0</v>
      </c>
      <c r="X42" s="12">
        <f t="shared" si="4"/>
        <v>1.3126245847146962E-3</v>
      </c>
      <c r="Y42" s="12">
        <f t="shared" si="8"/>
        <v>1.3367989644180425E-3</v>
      </c>
      <c r="Z42" s="12">
        <f t="shared" si="9"/>
        <v>9.6441737037489261E-6</v>
      </c>
    </row>
    <row r="43" spans="2:26" x14ac:dyDescent="0.2">
      <c r="F43" s="15">
        <f t="shared" si="16"/>
        <v>18</v>
      </c>
      <c r="G43" s="30">
        <f t="shared" si="10"/>
        <v>119.99991999999995</v>
      </c>
      <c r="H43" s="31">
        <f t="shared" si="11"/>
        <v>0.5005140171199598</v>
      </c>
      <c r="I43" s="17">
        <v>0</v>
      </c>
      <c r="J43" s="16">
        <v>0</v>
      </c>
      <c r="K43" s="15">
        <f t="shared" si="12"/>
        <v>0</v>
      </c>
      <c r="L43" s="15">
        <f t="shared" si="13"/>
        <v>0</v>
      </c>
      <c r="M43" s="14">
        <f>L43*$G$25*RiskFactors!$C$25</f>
        <v>0</v>
      </c>
      <c r="U43" s="11">
        <f t="shared" si="14"/>
        <v>0</v>
      </c>
      <c r="V43" s="11">
        <f t="shared" si="15"/>
        <v>0</v>
      </c>
      <c r="X43" s="12">
        <f t="shared" si="4"/>
        <v>1.2884502030290233E-3</v>
      </c>
      <c r="Y43" s="12">
        <f t="shared" si="8"/>
        <v>1.3126245847146962E-3</v>
      </c>
      <c r="Z43" s="12">
        <f t="shared" si="9"/>
        <v>9.6441748006492745E-6</v>
      </c>
    </row>
    <row r="44" spans="2:26" x14ac:dyDescent="0.2">
      <c r="F44" s="15">
        <f t="shared" si="16"/>
        <v>19</v>
      </c>
      <c r="G44" s="30">
        <f t="shared" si="10"/>
        <v>119.99990999999994</v>
      </c>
      <c r="H44" s="31">
        <f t="shared" si="11"/>
        <v>0.50050437294404215</v>
      </c>
      <c r="I44" s="17">
        <v>0</v>
      </c>
      <c r="J44" s="16">
        <v>0</v>
      </c>
      <c r="K44" s="15">
        <f t="shared" si="12"/>
        <v>0</v>
      </c>
      <c r="L44" s="15">
        <f t="shared" si="13"/>
        <v>0</v>
      </c>
      <c r="M44" s="14">
        <f>L44*$G$25*RiskFactors!$C$25</f>
        <v>0</v>
      </c>
      <c r="U44" s="11">
        <f t="shared" si="14"/>
        <v>0</v>
      </c>
      <c r="V44" s="11">
        <f t="shared" si="15"/>
        <v>0</v>
      </c>
      <c r="X44" s="12">
        <f t="shared" si="4"/>
        <v>1.2642758192966106E-3</v>
      </c>
      <c r="Y44" s="12">
        <f t="shared" si="8"/>
        <v>1.2884502030290233E-3</v>
      </c>
      <c r="Z44" s="12">
        <f t="shared" si="9"/>
        <v>9.6441759176446595E-6</v>
      </c>
    </row>
    <row r="45" spans="2:26" x14ac:dyDescent="0.2">
      <c r="F45" s="15">
        <f t="shared" si="16"/>
        <v>20</v>
      </c>
      <c r="G45" s="30">
        <f t="shared" si="10"/>
        <v>119.99989999999994</v>
      </c>
      <c r="H45" s="31">
        <f t="shared" si="11"/>
        <v>0.50049472876702616</v>
      </c>
      <c r="I45" s="17">
        <v>0</v>
      </c>
      <c r="J45" s="16">
        <v>0</v>
      </c>
      <c r="K45" s="15">
        <f t="shared" si="12"/>
        <v>0</v>
      </c>
      <c r="L45" s="15">
        <f t="shared" si="13"/>
        <v>0</v>
      </c>
      <c r="M45" s="14">
        <f>L45*$G$25*RiskFactors!$C$25</f>
        <v>0</v>
      </c>
      <c r="U45" s="11">
        <f t="shared" si="14"/>
        <v>0</v>
      </c>
      <c r="V45" s="11">
        <f t="shared" si="15"/>
        <v>0</v>
      </c>
      <c r="X45" s="12">
        <f t="shared" si="4"/>
        <v>1.2401014335496642E-3</v>
      </c>
      <c r="Y45" s="12">
        <f t="shared" si="8"/>
        <v>1.2642758192966106E-3</v>
      </c>
      <c r="Z45" s="12">
        <f t="shared" si="9"/>
        <v>9.6441770159882978E-6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 t="shared" ref="F53:F72" si="17">1+F54</f>
        <v>21</v>
      </c>
      <c r="G53" s="30">
        <f t="shared" ref="G53:G73" si="18">G54+$C$14</f>
        <v>120.00031000000007</v>
      </c>
    </row>
    <row r="54" spans="6:13" x14ac:dyDescent="0.2">
      <c r="F54" s="15">
        <f t="shared" si="17"/>
        <v>20</v>
      </c>
      <c r="G54" s="30">
        <f t="shared" si="18"/>
        <v>120.00030000000007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 t="shared" si="17"/>
        <v>19</v>
      </c>
      <c r="G55" s="30">
        <f t="shared" si="18"/>
        <v>120.00029000000006</v>
      </c>
      <c r="I55" s="17">
        <v>0</v>
      </c>
      <c r="L55" s="15">
        <f t="shared" ref="L55:L94" si="19">I55</f>
        <v>0</v>
      </c>
      <c r="M55" s="14">
        <f>L55*$G$25*RiskFactors!$C$24</f>
        <v>0</v>
      </c>
    </row>
    <row r="56" spans="6:13" x14ac:dyDescent="0.2">
      <c r="F56" s="15">
        <f t="shared" si="17"/>
        <v>18</v>
      </c>
      <c r="G56" s="30">
        <f t="shared" si="18"/>
        <v>120.00028000000006</v>
      </c>
      <c r="I56" s="17">
        <v>0</v>
      </c>
      <c r="L56" s="15">
        <f t="shared" si="19"/>
        <v>0</v>
      </c>
      <c r="M56" s="14">
        <f>L56*$G$25*RiskFactors!$C$24</f>
        <v>0</v>
      </c>
    </row>
    <row r="57" spans="6:13" x14ac:dyDescent="0.2">
      <c r="F57" s="15">
        <f t="shared" si="17"/>
        <v>17</v>
      </c>
      <c r="G57" s="30">
        <f t="shared" si="18"/>
        <v>120.00027000000006</v>
      </c>
      <c r="I57" s="17">
        <v>0</v>
      </c>
      <c r="L57" s="15">
        <f t="shared" si="19"/>
        <v>0</v>
      </c>
      <c r="M57" s="14">
        <f>L57*$G$25*RiskFactors!$C$24</f>
        <v>0</v>
      </c>
    </row>
    <row r="58" spans="6:13" x14ac:dyDescent="0.2">
      <c r="F58" s="15">
        <f t="shared" si="17"/>
        <v>16</v>
      </c>
      <c r="G58" s="30">
        <f t="shared" si="18"/>
        <v>120.00026000000005</v>
      </c>
      <c r="I58" s="17">
        <v>0</v>
      </c>
      <c r="L58" s="15">
        <f t="shared" si="19"/>
        <v>0</v>
      </c>
      <c r="M58" s="14">
        <f>L58*$G$25*RiskFactors!$C$24</f>
        <v>0</v>
      </c>
    </row>
    <row r="59" spans="6:13" x14ac:dyDescent="0.2">
      <c r="F59" s="15">
        <f t="shared" si="17"/>
        <v>15</v>
      </c>
      <c r="G59" s="30">
        <f t="shared" si="18"/>
        <v>120.00025000000005</v>
      </c>
      <c r="I59" s="17">
        <v>0</v>
      </c>
      <c r="L59" s="15">
        <f t="shared" si="19"/>
        <v>0</v>
      </c>
      <c r="M59" s="14">
        <f>L59*$G$25*RiskFactors!$C$24</f>
        <v>0</v>
      </c>
    </row>
    <row r="60" spans="6:13" x14ac:dyDescent="0.2">
      <c r="F60" s="15">
        <f t="shared" si="17"/>
        <v>14</v>
      </c>
      <c r="G60" s="30">
        <f t="shared" si="18"/>
        <v>120.00024000000005</v>
      </c>
      <c r="I60" s="17">
        <v>0</v>
      </c>
      <c r="L60" s="15">
        <f t="shared" si="19"/>
        <v>0</v>
      </c>
      <c r="M60" s="14">
        <f>L60*$G$25*RiskFactors!$C$24</f>
        <v>0</v>
      </c>
    </row>
    <row r="61" spans="6:13" x14ac:dyDescent="0.2">
      <c r="F61" s="15">
        <f t="shared" si="17"/>
        <v>13</v>
      </c>
      <c r="G61" s="30">
        <f t="shared" si="18"/>
        <v>120.00023000000004</v>
      </c>
      <c r="I61" s="17">
        <v>0</v>
      </c>
      <c r="L61" s="15">
        <f t="shared" si="19"/>
        <v>0</v>
      </c>
      <c r="M61" s="14">
        <f>L61*$G$25*RiskFactors!$C$24</f>
        <v>0</v>
      </c>
    </row>
    <row r="62" spans="6:13" x14ac:dyDescent="0.2">
      <c r="F62" s="15">
        <f t="shared" si="17"/>
        <v>12</v>
      </c>
      <c r="G62" s="30">
        <f t="shared" si="18"/>
        <v>120.00022000000004</v>
      </c>
      <c r="I62" s="17">
        <v>0</v>
      </c>
      <c r="L62" s="15">
        <f t="shared" si="19"/>
        <v>0</v>
      </c>
      <c r="M62" s="14">
        <f>L62*$G$25*RiskFactors!$C$24</f>
        <v>0</v>
      </c>
    </row>
    <row r="63" spans="6:13" x14ac:dyDescent="0.2">
      <c r="F63" s="15">
        <f t="shared" si="17"/>
        <v>11</v>
      </c>
      <c r="G63" s="30">
        <f t="shared" si="18"/>
        <v>120.00021000000004</v>
      </c>
      <c r="I63" s="17">
        <v>0</v>
      </c>
      <c r="L63" s="15">
        <f t="shared" si="19"/>
        <v>0</v>
      </c>
      <c r="M63" s="14">
        <f>L63*$G$25*RiskFactors!$C$24</f>
        <v>0</v>
      </c>
    </row>
    <row r="64" spans="6:13" x14ac:dyDescent="0.2">
      <c r="F64" s="15">
        <f t="shared" si="17"/>
        <v>10</v>
      </c>
      <c r="G64" s="30">
        <f t="shared" si="18"/>
        <v>120.00020000000004</v>
      </c>
      <c r="I64" s="17">
        <v>167</v>
      </c>
      <c r="L64" s="15">
        <f t="shared" si="19"/>
        <v>167</v>
      </c>
      <c r="M64" s="14">
        <f>L64*$G$25*RiskFactors!$C$24</f>
        <v>233.84647812854735</v>
      </c>
    </row>
    <row r="65" spans="5:13" x14ac:dyDescent="0.2">
      <c r="F65" s="15">
        <f t="shared" si="17"/>
        <v>9</v>
      </c>
      <c r="G65" s="30">
        <f t="shared" si="18"/>
        <v>120.00019000000003</v>
      </c>
      <c r="I65" s="17">
        <v>50</v>
      </c>
      <c r="L65" s="15">
        <f t="shared" si="19"/>
        <v>50</v>
      </c>
      <c r="M65" s="14">
        <f>L65*$G$25*RiskFactors!$C$24</f>
        <v>70.013915607349503</v>
      </c>
    </row>
    <row r="66" spans="5:13" x14ac:dyDescent="0.2">
      <c r="F66" s="15">
        <f t="shared" si="17"/>
        <v>8</v>
      </c>
      <c r="G66" s="30">
        <f t="shared" si="18"/>
        <v>120.00018000000003</v>
      </c>
      <c r="I66" s="17">
        <v>50</v>
      </c>
      <c r="L66" s="15">
        <f t="shared" si="19"/>
        <v>50</v>
      </c>
      <c r="M66" s="14">
        <f>L66*$G$25*RiskFactors!$C$24</f>
        <v>70.013915607349503</v>
      </c>
    </row>
    <row r="67" spans="5:13" x14ac:dyDescent="0.2">
      <c r="F67" s="15">
        <f t="shared" si="17"/>
        <v>7</v>
      </c>
      <c r="G67" s="30">
        <f t="shared" si="18"/>
        <v>120.00017000000003</v>
      </c>
      <c r="I67" s="17">
        <v>50</v>
      </c>
      <c r="L67" s="15">
        <f t="shared" si="19"/>
        <v>50</v>
      </c>
      <c r="M67" s="14">
        <f>L67*$G$25*RiskFactors!$C$24</f>
        <v>70.013915607349503</v>
      </c>
    </row>
    <row r="68" spans="5:13" x14ac:dyDescent="0.2">
      <c r="F68" s="15">
        <f t="shared" si="17"/>
        <v>6</v>
      </c>
      <c r="G68" s="30">
        <f t="shared" si="18"/>
        <v>120.00016000000002</v>
      </c>
      <c r="I68" s="17">
        <v>50</v>
      </c>
      <c r="L68" s="15">
        <f t="shared" si="19"/>
        <v>50</v>
      </c>
      <c r="M68" s="14">
        <f>L68*$G$25*RiskFactors!$C$24</f>
        <v>70.013915607349503</v>
      </c>
    </row>
    <row r="69" spans="5:13" x14ac:dyDescent="0.2">
      <c r="F69" s="15">
        <f t="shared" si="17"/>
        <v>5</v>
      </c>
      <c r="G69" s="30">
        <f t="shared" si="18"/>
        <v>120.00015000000002</v>
      </c>
      <c r="I69" s="17">
        <v>50</v>
      </c>
      <c r="L69" s="15">
        <f t="shared" si="19"/>
        <v>50</v>
      </c>
      <c r="M69" s="14">
        <f>L69*$G$25*RiskFactors!$C$24</f>
        <v>70.013915607349503</v>
      </c>
    </row>
    <row r="70" spans="5:13" x14ac:dyDescent="0.2">
      <c r="F70" s="15">
        <f t="shared" si="17"/>
        <v>4</v>
      </c>
      <c r="G70" s="30">
        <f t="shared" si="18"/>
        <v>120.00014000000002</v>
      </c>
      <c r="I70" s="17">
        <v>10</v>
      </c>
      <c r="L70" s="15">
        <f t="shared" si="19"/>
        <v>10</v>
      </c>
      <c r="M70" s="14">
        <f>L70*$G$25*RiskFactors!$C$24</f>
        <v>14.0027831214699</v>
      </c>
    </row>
    <row r="71" spans="5:13" x14ac:dyDescent="0.2">
      <c r="F71" s="15">
        <f t="shared" si="17"/>
        <v>3</v>
      </c>
      <c r="G71" s="30">
        <f t="shared" si="18"/>
        <v>120.00013000000001</v>
      </c>
      <c r="I71" s="17">
        <v>0</v>
      </c>
      <c r="L71" s="15">
        <f t="shared" si="19"/>
        <v>0</v>
      </c>
      <c r="M71" s="14">
        <f>L71*$G$25*RiskFactors!$C$24</f>
        <v>0</v>
      </c>
    </row>
    <row r="72" spans="5:13" x14ac:dyDescent="0.2">
      <c r="F72" s="15">
        <f t="shared" si="17"/>
        <v>2</v>
      </c>
      <c r="G72" s="30">
        <f t="shared" si="18"/>
        <v>120.00012000000001</v>
      </c>
      <c r="I72" s="17">
        <v>0</v>
      </c>
      <c r="L72" s="15">
        <f t="shared" si="19"/>
        <v>0</v>
      </c>
      <c r="M72" s="14">
        <f>L72*$G$25*RiskFactors!$C$24</f>
        <v>0</v>
      </c>
    </row>
    <row r="73" spans="5:13" x14ac:dyDescent="0.2">
      <c r="F73" s="15">
        <v>1</v>
      </c>
      <c r="G73" s="30">
        <f t="shared" si="18"/>
        <v>120.00011000000001</v>
      </c>
      <c r="I73" s="17">
        <v>0</v>
      </c>
      <c r="L73" s="15">
        <f t="shared" si="19"/>
        <v>0</v>
      </c>
      <c r="M73" s="14">
        <f>L73*$G$25*RiskFactors!$C$24</f>
        <v>0</v>
      </c>
    </row>
    <row r="74" spans="5:13" x14ac:dyDescent="0.2">
      <c r="E74" s="24" t="s">
        <v>36</v>
      </c>
      <c r="F74" s="5">
        <v>0</v>
      </c>
      <c r="G74" s="29">
        <f>$C$13</f>
        <v>120.0001</v>
      </c>
      <c r="I74" s="5" t="s">
        <v>67</v>
      </c>
      <c r="L74" s="24" t="str">
        <f t="shared" si="19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 t="shared" ref="G75:G94" si="20">G74-$C$14</f>
        <v>120.00009</v>
      </c>
      <c r="I75" s="17">
        <v>0</v>
      </c>
      <c r="L75" s="15">
        <f t="shared" si="19"/>
        <v>0</v>
      </c>
      <c r="M75" s="14">
        <f>L75*$G$25*RiskFactors!$C$25</f>
        <v>0</v>
      </c>
    </row>
    <row r="76" spans="5:13" x14ac:dyDescent="0.2">
      <c r="F76" s="15">
        <f t="shared" ref="F76:F94" si="21">1+F75</f>
        <v>2</v>
      </c>
      <c r="G76" s="30">
        <f t="shared" si="20"/>
        <v>120.00008</v>
      </c>
      <c r="I76" s="17">
        <v>0</v>
      </c>
      <c r="L76" s="15">
        <f t="shared" si="19"/>
        <v>0</v>
      </c>
      <c r="M76" s="14">
        <f>L76*$G$25*RiskFactors!$C$25</f>
        <v>0</v>
      </c>
    </row>
    <row r="77" spans="5:13" x14ac:dyDescent="0.2">
      <c r="F77" s="15">
        <f t="shared" si="21"/>
        <v>3</v>
      </c>
      <c r="G77" s="30">
        <f t="shared" si="20"/>
        <v>120.00006999999999</v>
      </c>
      <c r="I77" s="17">
        <v>0</v>
      </c>
      <c r="L77" s="15">
        <f t="shared" si="19"/>
        <v>0</v>
      </c>
      <c r="M77" s="14">
        <f>L77*$G$25*RiskFactors!$C$25</f>
        <v>0</v>
      </c>
    </row>
    <row r="78" spans="5:13" x14ac:dyDescent="0.2">
      <c r="F78" s="15">
        <f t="shared" si="21"/>
        <v>4</v>
      </c>
      <c r="G78" s="30">
        <f t="shared" si="20"/>
        <v>120.00005999999999</v>
      </c>
      <c r="I78" s="17">
        <v>1</v>
      </c>
      <c r="L78" s="15">
        <f t="shared" si="19"/>
        <v>1</v>
      </c>
      <c r="M78" s="14">
        <f>L78*$G$25*RiskFactors!$C$25</f>
        <v>1.3854409237215934</v>
      </c>
    </row>
    <row r="79" spans="5:13" x14ac:dyDescent="0.2">
      <c r="F79" s="15">
        <f t="shared" si="21"/>
        <v>5</v>
      </c>
      <c r="G79" s="30">
        <f t="shared" si="20"/>
        <v>120.00004999999999</v>
      </c>
      <c r="I79" s="17">
        <v>50</v>
      </c>
      <c r="L79" s="15">
        <f t="shared" si="19"/>
        <v>50</v>
      </c>
      <c r="M79" s="14">
        <f>L79*$G$25*RiskFactors!$C$25</f>
        <v>69.272046186079663</v>
      </c>
    </row>
    <row r="80" spans="5:13" x14ac:dyDescent="0.2">
      <c r="F80" s="15">
        <f t="shared" si="21"/>
        <v>6</v>
      </c>
      <c r="G80" s="30">
        <f t="shared" si="20"/>
        <v>120.00003999999998</v>
      </c>
      <c r="I80" s="17">
        <v>50</v>
      </c>
      <c r="L80" s="15">
        <f t="shared" si="19"/>
        <v>50</v>
      </c>
      <c r="M80" s="14">
        <f>L80*$G$25*RiskFactors!$C$25</f>
        <v>69.272046186079663</v>
      </c>
    </row>
    <row r="81" spans="6:13" x14ac:dyDescent="0.2">
      <c r="F81" s="15">
        <f t="shared" si="21"/>
        <v>7</v>
      </c>
      <c r="G81" s="30">
        <f t="shared" si="20"/>
        <v>120.00002999999998</v>
      </c>
      <c r="I81" s="17">
        <v>50</v>
      </c>
      <c r="L81" s="15">
        <f t="shared" si="19"/>
        <v>50</v>
      </c>
      <c r="M81" s="14">
        <f>L81*$G$25*RiskFactors!$C$25</f>
        <v>69.272046186079663</v>
      </c>
    </row>
    <row r="82" spans="6:13" x14ac:dyDescent="0.2">
      <c r="F82" s="15">
        <f t="shared" si="21"/>
        <v>8</v>
      </c>
      <c r="G82" s="30">
        <f t="shared" si="20"/>
        <v>120.00001999999998</v>
      </c>
      <c r="I82" s="17">
        <v>50</v>
      </c>
      <c r="L82" s="15">
        <f t="shared" si="19"/>
        <v>50</v>
      </c>
      <c r="M82" s="14">
        <f>L82*$G$25*RiskFactors!$C$25</f>
        <v>69.272046186079663</v>
      </c>
    </row>
    <row r="83" spans="6:13" x14ac:dyDescent="0.2">
      <c r="F83" s="15">
        <f t="shared" si="21"/>
        <v>9</v>
      </c>
      <c r="G83" s="30">
        <f t="shared" si="20"/>
        <v>120.00000999999997</v>
      </c>
      <c r="I83" s="17">
        <v>50</v>
      </c>
      <c r="L83" s="15">
        <f t="shared" si="19"/>
        <v>50</v>
      </c>
      <c r="M83" s="14">
        <f>L83*$G$25*RiskFactors!$C$25</f>
        <v>69.272046186079663</v>
      </c>
    </row>
    <row r="84" spans="6:13" x14ac:dyDescent="0.2">
      <c r="F84" s="15">
        <f t="shared" si="21"/>
        <v>10</v>
      </c>
      <c r="G84" s="30">
        <f t="shared" si="20"/>
        <v>119.99999999999997</v>
      </c>
      <c r="I84" s="17">
        <v>167</v>
      </c>
      <c r="L84" s="15">
        <f t="shared" si="19"/>
        <v>167</v>
      </c>
      <c r="M84" s="14">
        <f>L84*$G$25*RiskFactors!$C$25</f>
        <v>231.36863426150609</v>
      </c>
    </row>
    <row r="85" spans="6:13" x14ac:dyDescent="0.2">
      <c r="F85" s="15">
        <f t="shared" si="21"/>
        <v>11</v>
      </c>
      <c r="G85" s="30">
        <f t="shared" si="20"/>
        <v>119.99998999999997</v>
      </c>
      <c r="I85" s="17">
        <v>0</v>
      </c>
      <c r="L85" s="15">
        <f t="shared" si="19"/>
        <v>0</v>
      </c>
      <c r="M85" s="14">
        <f>L85*$G$25*RiskFactors!$C$25</f>
        <v>0</v>
      </c>
    </row>
    <row r="86" spans="6:13" x14ac:dyDescent="0.2">
      <c r="F86" s="15">
        <f t="shared" si="21"/>
        <v>12</v>
      </c>
      <c r="G86" s="30">
        <f t="shared" si="20"/>
        <v>119.99997999999997</v>
      </c>
      <c r="I86" s="17">
        <v>0</v>
      </c>
      <c r="L86" s="15">
        <f t="shared" si="19"/>
        <v>0</v>
      </c>
      <c r="M86" s="14">
        <f>L86*$G$25*RiskFactors!$C$25</f>
        <v>0</v>
      </c>
    </row>
    <row r="87" spans="6:13" x14ac:dyDescent="0.2">
      <c r="F87" s="15">
        <f t="shared" si="21"/>
        <v>13</v>
      </c>
      <c r="G87" s="30">
        <f t="shared" si="20"/>
        <v>119.99996999999996</v>
      </c>
      <c r="I87" s="17">
        <v>0</v>
      </c>
      <c r="L87" s="15">
        <f t="shared" si="19"/>
        <v>0</v>
      </c>
      <c r="M87" s="14">
        <f>L87*$G$25*RiskFactors!$C$25</f>
        <v>0</v>
      </c>
    </row>
    <row r="88" spans="6:13" x14ac:dyDescent="0.2">
      <c r="F88" s="15">
        <f t="shared" si="21"/>
        <v>14</v>
      </c>
      <c r="G88" s="30">
        <f t="shared" si="20"/>
        <v>119.99995999999996</v>
      </c>
      <c r="I88" s="17">
        <v>0</v>
      </c>
      <c r="L88" s="15">
        <f t="shared" si="19"/>
        <v>0</v>
      </c>
      <c r="M88" s="14">
        <f>L88*$G$25*RiskFactors!$C$25</f>
        <v>0</v>
      </c>
    </row>
    <row r="89" spans="6:13" x14ac:dyDescent="0.2">
      <c r="F89" s="15">
        <f t="shared" si="21"/>
        <v>15</v>
      </c>
      <c r="G89" s="30">
        <f t="shared" si="20"/>
        <v>119.99994999999996</v>
      </c>
      <c r="I89" s="17">
        <v>0</v>
      </c>
      <c r="L89" s="15">
        <f t="shared" si="19"/>
        <v>0</v>
      </c>
      <c r="M89" s="14">
        <f>L89*$G$25*RiskFactors!$C$25</f>
        <v>0</v>
      </c>
    </row>
    <row r="90" spans="6:13" x14ac:dyDescent="0.2">
      <c r="F90" s="15">
        <f t="shared" si="21"/>
        <v>16</v>
      </c>
      <c r="G90" s="30">
        <f t="shared" si="20"/>
        <v>119.99993999999995</v>
      </c>
      <c r="I90" s="17">
        <v>0</v>
      </c>
      <c r="L90" s="15">
        <f t="shared" si="19"/>
        <v>0</v>
      </c>
      <c r="M90" s="14">
        <f>L90*$G$25*RiskFactors!$C$25</f>
        <v>0</v>
      </c>
    </row>
    <row r="91" spans="6:13" x14ac:dyDescent="0.2">
      <c r="F91" s="15">
        <f t="shared" si="21"/>
        <v>17</v>
      </c>
      <c r="G91" s="30">
        <f t="shared" si="20"/>
        <v>119.99992999999995</v>
      </c>
      <c r="I91" s="17">
        <v>0</v>
      </c>
      <c r="L91" s="15">
        <f t="shared" si="19"/>
        <v>0</v>
      </c>
      <c r="M91" s="14">
        <f>L91*$G$25*RiskFactors!$C$25</f>
        <v>0</v>
      </c>
    </row>
    <row r="92" spans="6:13" x14ac:dyDescent="0.2">
      <c r="F92" s="15">
        <f t="shared" si="21"/>
        <v>18</v>
      </c>
      <c r="G92" s="30">
        <f t="shared" si="20"/>
        <v>119.99991999999995</v>
      </c>
      <c r="I92" s="17">
        <v>0</v>
      </c>
      <c r="L92" s="15">
        <f t="shared" si="19"/>
        <v>0</v>
      </c>
      <c r="M92" s="14">
        <f>L92*$G$25*RiskFactors!$C$25</f>
        <v>0</v>
      </c>
    </row>
    <row r="93" spans="6:13" x14ac:dyDescent="0.2">
      <c r="F93" s="15">
        <f t="shared" si="21"/>
        <v>19</v>
      </c>
      <c r="G93" s="30">
        <f t="shared" si="20"/>
        <v>119.99990999999994</v>
      </c>
      <c r="I93" s="17">
        <v>0</v>
      </c>
      <c r="L93" s="15">
        <f t="shared" si="19"/>
        <v>0</v>
      </c>
      <c r="M93" s="14">
        <f>L93*$G$25*RiskFactors!$C$25</f>
        <v>0</v>
      </c>
    </row>
    <row r="94" spans="6:13" x14ac:dyDescent="0.2">
      <c r="F94" s="15">
        <f t="shared" si="21"/>
        <v>20</v>
      </c>
      <c r="G94" s="30">
        <f t="shared" si="20"/>
        <v>119.99989999999994</v>
      </c>
      <c r="I94" s="17">
        <v>0</v>
      </c>
      <c r="L94" s="15">
        <f t="shared" si="19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 t="shared" ref="F101:F120" si="22">1+F102</f>
        <v>21</v>
      </c>
      <c r="G101" s="30">
        <f t="shared" ref="G101:G121" si="23">G102+$C$14</f>
        <v>120.00031000000007</v>
      </c>
    </row>
    <row r="102" spans="6:12" x14ac:dyDescent="0.2">
      <c r="F102" s="15">
        <f t="shared" si="22"/>
        <v>20</v>
      </c>
      <c r="G102" s="30">
        <f t="shared" si="23"/>
        <v>120.00030000000007</v>
      </c>
      <c r="L102" s="15">
        <f>L54+L5</f>
        <v>0</v>
      </c>
    </row>
    <row r="103" spans="6:12" x14ac:dyDescent="0.2">
      <c r="F103" s="15">
        <f t="shared" si="22"/>
        <v>19</v>
      </c>
      <c r="G103" s="30">
        <f t="shared" si="23"/>
        <v>120.00029000000006</v>
      </c>
      <c r="L103" s="15">
        <f t="shared" ref="L103:L121" si="24">L55+L6</f>
        <v>0</v>
      </c>
    </row>
    <row r="104" spans="6:12" x14ac:dyDescent="0.2">
      <c r="F104" s="15">
        <f t="shared" si="22"/>
        <v>18</v>
      </c>
      <c r="G104" s="30">
        <f t="shared" si="23"/>
        <v>120.00028000000006</v>
      </c>
      <c r="L104" s="15">
        <f t="shared" si="24"/>
        <v>0</v>
      </c>
    </row>
    <row r="105" spans="6:12" x14ac:dyDescent="0.2">
      <c r="F105" s="15">
        <f t="shared" si="22"/>
        <v>17</v>
      </c>
      <c r="G105" s="30">
        <f t="shared" si="23"/>
        <v>120.00027000000006</v>
      </c>
      <c r="L105" s="15">
        <f t="shared" si="24"/>
        <v>0</v>
      </c>
    </row>
    <row r="106" spans="6:12" x14ac:dyDescent="0.2">
      <c r="F106" s="15">
        <f t="shared" si="22"/>
        <v>16</v>
      </c>
      <c r="G106" s="30">
        <f t="shared" si="23"/>
        <v>120.00026000000005</v>
      </c>
      <c r="L106" s="15">
        <f t="shared" si="24"/>
        <v>0</v>
      </c>
    </row>
    <row r="107" spans="6:12" x14ac:dyDescent="0.2">
      <c r="F107" s="15">
        <f t="shared" si="22"/>
        <v>15</v>
      </c>
      <c r="G107" s="30">
        <f t="shared" si="23"/>
        <v>120.00025000000005</v>
      </c>
      <c r="L107" s="15">
        <f t="shared" si="24"/>
        <v>0</v>
      </c>
    </row>
    <row r="108" spans="6:12" x14ac:dyDescent="0.2">
      <c r="F108" s="15">
        <f t="shared" si="22"/>
        <v>14</v>
      </c>
      <c r="G108" s="30">
        <f t="shared" si="23"/>
        <v>120.00024000000005</v>
      </c>
      <c r="L108" s="15">
        <f t="shared" si="24"/>
        <v>0</v>
      </c>
    </row>
    <row r="109" spans="6:12" x14ac:dyDescent="0.2">
      <c r="F109" s="15">
        <f t="shared" si="22"/>
        <v>13</v>
      </c>
      <c r="G109" s="30">
        <f t="shared" si="23"/>
        <v>120.00023000000004</v>
      </c>
      <c r="L109" s="15">
        <f t="shared" si="24"/>
        <v>0</v>
      </c>
    </row>
    <row r="110" spans="6:12" x14ac:dyDescent="0.2">
      <c r="F110" s="15">
        <f t="shared" si="22"/>
        <v>12</v>
      </c>
      <c r="G110" s="30">
        <f t="shared" si="23"/>
        <v>120.00022000000004</v>
      </c>
      <c r="L110" s="15">
        <f t="shared" si="24"/>
        <v>0</v>
      </c>
    </row>
    <row r="111" spans="6:12" x14ac:dyDescent="0.2">
      <c r="F111" s="15">
        <f t="shared" si="22"/>
        <v>11</v>
      </c>
      <c r="G111" s="30">
        <f t="shared" si="23"/>
        <v>120.00021000000004</v>
      </c>
      <c r="L111" s="15">
        <f t="shared" si="24"/>
        <v>0</v>
      </c>
    </row>
    <row r="112" spans="6:12" x14ac:dyDescent="0.2">
      <c r="F112" s="15">
        <f t="shared" si="22"/>
        <v>10</v>
      </c>
      <c r="G112" s="30">
        <f t="shared" si="23"/>
        <v>120.00020000000004</v>
      </c>
      <c r="L112" s="15">
        <f t="shared" si="24"/>
        <v>176</v>
      </c>
    </row>
    <row r="113" spans="5:12" x14ac:dyDescent="0.2">
      <c r="F113" s="15">
        <f t="shared" si="22"/>
        <v>9</v>
      </c>
      <c r="G113" s="30">
        <f t="shared" si="23"/>
        <v>120.00019000000003</v>
      </c>
      <c r="L113" s="15">
        <f t="shared" si="24"/>
        <v>59</v>
      </c>
    </row>
    <row r="114" spans="5:12" x14ac:dyDescent="0.2">
      <c r="F114" s="15">
        <f t="shared" si="22"/>
        <v>8</v>
      </c>
      <c r="G114" s="30">
        <f t="shared" si="23"/>
        <v>120.00018000000003</v>
      </c>
      <c r="L114" s="15">
        <f t="shared" si="24"/>
        <v>59</v>
      </c>
    </row>
    <row r="115" spans="5:12" x14ac:dyDescent="0.2">
      <c r="F115" s="15">
        <f t="shared" si="22"/>
        <v>7</v>
      </c>
      <c r="G115" s="30">
        <f t="shared" si="23"/>
        <v>120.00017000000003</v>
      </c>
      <c r="L115" s="15">
        <f t="shared" si="24"/>
        <v>59</v>
      </c>
    </row>
    <row r="116" spans="5:12" x14ac:dyDescent="0.2">
      <c r="F116" s="15">
        <f t="shared" si="22"/>
        <v>6</v>
      </c>
      <c r="G116" s="30">
        <f t="shared" si="23"/>
        <v>120.00016000000002</v>
      </c>
      <c r="L116" s="15">
        <f t="shared" si="24"/>
        <v>59</v>
      </c>
    </row>
    <row r="117" spans="5:12" x14ac:dyDescent="0.2">
      <c r="F117" s="15">
        <f t="shared" si="22"/>
        <v>5</v>
      </c>
      <c r="G117" s="30">
        <f t="shared" si="23"/>
        <v>120.00015000000002</v>
      </c>
      <c r="L117" s="15">
        <f t="shared" si="24"/>
        <v>59</v>
      </c>
    </row>
    <row r="118" spans="5:12" x14ac:dyDescent="0.2">
      <c r="F118" s="15">
        <f t="shared" si="22"/>
        <v>4</v>
      </c>
      <c r="G118" s="30">
        <f t="shared" si="23"/>
        <v>120.00014000000002</v>
      </c>
      <c r="L118" s="15">
        <f t="shared" si="24"/>
        <v>19</v>
      </c>
    </row>
    <row r="119" spans="5:12" x14ac:dyDescent="0.2">
      <c r="F119" s="15">
        <f t="shared" si="22"/>
        <v>3</v>
      </c>
      <c r="G119" s="30">
        <f t="shared" si="23"/>
        <v>120.00013000000001</v>
      </c>
      <c r="L119" s="15">
        <f t="shared" si="24"/>
        <v>50</v>
      </c>
    </row>
    <row r="120" spans="5:12" x14ac:dyDescent="0.2">
      <c r="F120" s="15">
        <f t="shared" si="22"/>
        <v>2</v>
      </c>
      <c r="G120" s="30">
        <f t="shared" si="23"/>
        <v>120.00012000000001</v>
      </c>
      <c r="L120" s="15">
        <f t="shared" si="24"/>
        <v>0</v>
      </c>
    </row>
    <row r="121" spans="5:12" x14ac:dyDescent="0.2">
      <c r="F121" s="15">
        <v>1</v>
      </c>
      <c r="G121" s="30">
        <f t="shared" si="23"/>
        <v>120.00011000000001</v>
      </c>
      <c r="L121" s="15">
        <f t="shared" si="24"/>
        <v>0</v>
      </c>
    </row>
    <row r="122" spans="5:12" x14ac:dyDescent="0.2">
      <c r="E122" s="24" t="s">
        <v>36</v>
      </c>
      <c r="F122" s="5">
        <v>0</v>
      </c>
      <c r="G122" s="29">
        <f>$C$13</f>
        <v>120.0001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 t="shared" ref="G123:G142" si="25">G122-$C$14</f>
        <v>120.00009</v>
      </c>
      <c r="L123" s="15">
        <f>L75+L26</f>
        <v>0</v>
      </c>
    </row>
    <row r="124" spans="5:12" x14ac:dyDescent="0.2">
      <c r="F124" s="15">
        <f t="shared" ref="F124:F142" si="26">1+F123</f>
        <v>2</v>
      </c>
      <c r="G124" s="30">
        <f t="shared" si="25"/>
        <v>120.00008</v>
      </c>
      <c r="L124" s="15">
        <f t="shared" ref="L124:L142" si="27">L76+L27</f>
        <v>19</v>
      </c>
    </row>
    <row r="125" spans="5:12" x14ac:dyDescent="0.2">
      <c r="F125" s="15">
        <f t="shared" si="26"/>
        <v>3</v>
      </c>
      <c r="G125" s="30">
        <f t="shared" si="25"/>
        <v>120.00006999999999</v>
      </c>
      <c r="L125" s="15">
        <f t="shared" si="27"/>
        <v>19</v>
      </c>
    </row>
    <row r="126" spans="5:12" x14ac:dyDescent="0.2">
      <c r="F126" s="15">
        <f t="shared" si="26"/>
        <v>4</v>
      </c>
      <c r="G126" s="30">
        <f t="shared" si="25"/>
        <v>120.00005999999999</v>
      </c>
      <c r="L126" s="15">
        <f t="shared" si="27"/>
        <v>20</v>
      </c>
    </row>
    <row r="127" spans="5:12" x14ac:dyDescent="0.2">
      <c r="F127" s="15">
        <f t="shared" si="26"/>
        <v>5</v>
      </c>
      <c r="G127" s="30">
        <f t="shared" si="25"/>
        <v>120.00004999999999</v>
      </c>
      <c r="L127" s="15">
        <f t="shared" si="27"/>
        <v>69</v>
      </c>
    </row>
    <row r="128" spans="5:12" x14ac:dyDescent="0.2">
      <c r="F128" s="15">
        <f t="shared" si="26"/>
        <v>6</v>
      </c>
      <c r="G128" s="30">
        <f t="shared" si="25"/>
        <v>120.00003999999998</v>
      </c>
      <c r="L128" s="15">
        <f t="shared" si="27"/>
        <v>69</v>
      </c>
    </row>
    <row r="129" spans="6:12" x14ac:dyDescent="0.2">
      <c r="F129" s="15">
        <f t="shared" si="26"/>
        <v>7</v>
      </c>
      <c r="G129" s="30">
        <f t="shared" si="25"/>
        <v>120.00002999999998</v>
      </c>
      <c r="L129" s="15">
        <f t="shared" si="27"/>
        <v>69</v>
      </c>
    </row>
    <row r="130" spans="6:12" x14ac:dyDescent="0.2">
      <c r="F130" s="15">
        <f t="shared" si="26"/>
        <v>8</v>
      </c>
      <c r="G130" s="30">
        <f t="shared" si="25"/>
        <v>120.00001999999998</v>
      </c>
      <c r="L130" s="15">
        <f t="shared" si="27"/>
        <v>69</v>
      </c>
    </row>
    <row r="131" spans="6:12" x14ac:dyDescent="0.2">
      <c r="F131" s="15">
        <f t="shared" si="26"/>
        <v>9</v>
      </c>
      <c r="G131" s="30">
        <f t="shared" si="25"/>
        <v>120.00000999999997</v>
      </c>
      <c r="L131" s="15">
        <f t="shared" si="27"/>
        <v>69</v>
      </c>
    </row>
    <row r="132" spans="6:12" x14ac:dyDescent="0.2">
      <c r="F132" s="15">
        <f t="shared" si="26"/>
        <v>10</v>
      </c>
      <c r="G132" s="30">
        <f t="shared" si="25"/>
        <v>119.99999999999997</v>
      </c>
      <c r="L132" s="15">
        <f t="shared" si="27"/>
        <v>186</v>
      </c>
    </row>
    <row r="133" spans="6:12" x14ac:dyDescent="0.2">
      <c r="F133" s="15">
        <f t="shared" si="26"/>
        <v>11</v>
      </c>
      <c r="G133" s="30">
        <f t="shared" si="25"/>
        <v>119.99998999999997</v>
      </c>
      <c r="L133" s="15">
        <f t="shared" si="27"/>
        <v>0</v>
      </c>
    </row>
    <row r="134" spans="6:12" x14ac:dyDescent="0.2">
      <c r="F134" s="15">
        <f t="shared" si="26"/>
        <v>12</v>
      </c>
      <c r="G134" s="30">
        <f t="shared" si="25"/>
        <v>119.99997999999997</v>
      </c>
      <c r="L134" s="15">
        <f t="shared" si="27"/>
        <v>0</v>
      </c>
    </row>
    <row r="135" spans="6:12" x14ac:dyDescent="0.2">
      <c r="F135" s="15">
        <f t="shared" si="26"/>
        <v>13</v>
      </c>
      <c r="G135" s="30">
        <f t="shared" si="25"/>
        <v>119.99996999999996</v>
      </c>
      <c r="L135" s="15">
        <f t="shared" si="27"/>
        <v>0</v>
      </c>
    </row>
    <row r="136" spans="6:12" x14ac:dyDescent="0.2">
      <c r="F136" s="15">
        <f t="shared" si="26"/>
        <v>14</v>
      </c>
      <c r="G136" s="30">
        <f t="shared" si="25"/>
        <v>119.99995999999996</v>
      </c>
      <c r="L136" s="15">
        <f t="shared" si="27"/>
        <v>0</v>
      </c>
    </row>
    <row r="137" spans="6:12" x14ac:dyDescent="0.2">
      <c r="F137" s="15">
        <f t="shared" si="26"/>
        <v>15</v>
      </c>
      <c r="G137" s="30">
        <f t="shared" si="25"/>
        <v>119.99994999999996</v>
      </c>
      <c r="L137" s="15">
        <f t="shared" si="27"/>
        <v>0</v>
      </c>
    </row>
    <row r="138" spans="6:12" x14ac:dyDescent="0.2">
      <c r="F138" s="15">
        <f t="shared" si="26"/>
        <v>16</v>
      </c>
      <c r="G138" s="30">
        <f t="shared" si="25"/>
        <v>119.99993999999995</v>
      </c>
      <c r="L138" s="15">
        <f t="shared" si="27"/>
        <v>0</v>
      </c>
    </row>
    <row r="139" spans="6:12" x14ac:dyDescent="0.2">
      <c r="F139" s="15">
        <f t="shared" si="26"/>
        <v>17</v>
      </c>
      <c r="G139" s="30">
        <f t="shared" si="25"/>
        <v>119.99992999999995</v>
      </c>
      <c r="L139" s="15">
        <f t="shared" si="27"/>
        <v>0</v>
      </c>
    </row>
    <row r="140" spans="6:12" x14ac:dyDescent="0.2">
      <c r="F140" s="15">
        <f t="shared" si="26"/>
        <v>18</v>
      </c>
      <c r="G140" s="30">
        <f t="shared" si="25"/>
        <v>119.99991999999995</v>
      </c>
      <c r="L140" s="15">
        <f t="shared" si="27"/>
        <v>0</v>
      </c>
    </row>
    <row r="141" spans="6:12" x14ac:dyDescent="0.2">
      <c r="F141" s="15">
        <f t="shared" si="26"/>
        <v>19</v>
      </c>
      <c r="G141" s="30">
        <f t="shared" si="25"/>
        <v>119.99990999999994</v>
      </c>
      <c r="L141" s="15">
        <f t="shared" si="27"/>
        <v>0</v>
      </c>
    </row>
    <row r="142" spans="6:12" x14ac:dyDescent="0.2">
      <c r="F142" s="15">
        <f t="shared" si="26"/>
        <v>20</v>
      </c>
      <c r="G142" s="30">
        <f t="shared" si="25"/>
        <v>119.99989999999994</v>
      </c>
      <c r="L142" s="15">
        <f t="shared" si="27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RiskFactors</vt:lpstr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Siska</dc:creator>
  <cp:lastModifiedBy>David Siska</cp:lastModifiedBy>
  <dcterms:created xsi:type="dcterms:W3CDTF">2021-03-24T19:20:00Z</dcterms:created>
  <dcterms:modified xsi:type="dcterms:W3CDTF">2021-03-24T19:58:25Z</dcterms:modified>
</cp:coreProperties>
</file>