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aa2bcb255abaad7/Vyshaaly/Academics/Fall 2022/Decision analysis/Final project/"/>
    </mc:Choice>
  </mc:AlternateContent>
  <xr:revisionPtr revIDLastSave="145" documentId="8_{7041BA9E-73F9-4E8D-80E0-4D55C3521C08}" xr6:coauthVersionLast="47" xr6:coauthVersionMax="47" xr10:uidLastSave="{6BCB014A-E260-4478-94F0-396EE4FF3790}"/>
  <bookViews>
    <workbookView xWindow="-120" yWindow="-120" windowWidth="38640" windowHeight="21240" firstSheet="1" activeTab="1" xr2:uid="{00000000-000D-0000-FFFF-FFFF00000000}"/>
  </bookViews>
  <sheets>
    <sheet name="Draft" sheetId="13" r:id="rId1"/>
    <sheet name="Final tool (trial)" sheetId="15" r:id="rId2"/>
    <sheet name="Draft (duplicate)" sheetId="16" r:id="rId3"/>
  </sheets>
  <definedNames>
    <definedName name="_xlnm._FilterDatabase" localSheetId="0" hidden="1">Draft!$G$84:$G$87</definedName>
    <definedName name="_xlnm._FilterDatabase" localSheetId="2" hidden="1">'Draft (duplicate)'!$H$73:$H$76</definedName>
    <definedName name="Data" localSheetId="2">'Draft (duplicate)'!$F$60:$AA$70</definedName>
    <definedName name="Data">Draft!$F$60:$AA$70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i6j7a/ShrCjIGn2L3bL3Mix0serA=="/>
    </ext>
  </extLst>
</workbook>
</file>

<file path=xl/calcChain.xml><?xml version="1.0" encoding="utf-8"?>
<calcChain xmlns="http://schemas.openxmlformats.org/spreadsheetml/2006/main">
  <c r="M30" i="16" l="1"/>
  <c r="M30" i="13"/>
  <c r="B90" i="13"/>
  <c r="B89" i="13"/>
  <c r="H74" i="16" l="1" a="1"/>
  <c r="H74" i="16" s="1"/>
  <c r="K78" i="16" a="1"/>
  <c r="K78" i="16" s="1"/>
  <c r="E70" i="16"/>
  <c r="E69" i="16"/>
  <c r="E68" i="16"/>
  <c r="E67" i="16"/>
  <c r="E66" i="16"/>
  <c r="E65" i="16"/>
  <c r="E64" i="16"/>
  <c r="E63" i="16"/>
  <c r="S61" i="16"/>
  <c r="C42" i="16"/>
  <c r="K38" i="16"/>
  <c r="Z61" i="16" s="1"/>
  <c r="J38" i="16"/>
  <c r="D49" i="16" s="1"/>
  <c r="K30" i="16"/>
  <c r="G24" i="16"/>
  <c r="F24" i="16"/>
  <c r="F23" i="16"/>
  <c r="G23" i="16" s="1"/>
  <c r="G22" i="16"/>
  <c r="F22" i="16"/>
  <c r="G21" i="16"/>
  <c r="F21" i="16"/>
  <c r="G20" i="16"/>
  <c r="F20" i="16"/>
  <c r="F19" i="16"/>
  <c r="G19" i="16" s="1"/>
  <c r="F18" i="16"/>
  <c r="G18" i="16" s="1"/>
  <c r="G17" i="16"/>
  <c r="F17" i="16"/>
  <c r="F16" i="16"/>
  <c r="G16" i="16" s="1"/>
  <c r="F15" i="16"/>
  <c r="G15" i="16" s="1"/>
  <c r="F14" i="16"/>
  <c r="G14" i="16" s="1"/>
  <c r="F13" i="16"/>
  <c r="G13" i="16" s="1"/>
  <c r="P11" i="16"/>
  <c r="J8" i="16"/>
  <c r="I8" i="16"/>
  <c r="H8" i="16"/>
  <c r="D8" i="16"/>
  <c r="R7" i="16"/>
  <c r="J7" i="16"/>
  <c r="I7" i="16"/>
  <c r="H7" i="16"/>
  <c r="D7" i="16"/>
  <c r="J6" i="16"/>
  <c r="I6" i="16"/>
  <c r="H6" i="16"/>
  <c r="D6" i="16"/>
  <c r="J5" i="16"/>
  <c r="I5" i="16"/>
  <c r="O11" i="16" s="1"/>
  <c r="H5" i="16"/>
  <c r="N11" i="16" s="1"/>
  <c r="S7" i="16" s="1"/>
  <c r="D5" i="16"/>
  <c r="M14" i="16" s="1"/>
  <c r="J4" i="16"/>
  <c r="I4" i="16"/>
  <c r="H4" i="16"/>
  <c r="D4" i="16"/>
  <c r="J3" i="16"/>
  <c r="I3" i="16"/>
  <c r="H3" i="16"/>
  <c r="D3" i="16"/>
  <c r="AB12" i="15"/>
  <c r="L49" i="16" l="1"/>
  <c r="K61" i="16"/>
  <c r="G48" i="16"/>
  <c r="I48" i="16"/>
  <c r="B49" i="16"/>
  <c r="AA61" i="16"/>
  <c r="G61" i="16"/>
  <c r="J49" i="16"/>
  <c r="I49" i="16"/>
  <c r="N14" i="16"/>
  <c r="R8" i="16"/>
  <c r="P8" i="16"/>
  <c r="O8" i="16"/>
  <c r="R11" i="16"/>
  <c r="N8" i="16"/>
  <c r="S6" i="16" s="1"/>
  <c r="R6" i="16"/>
  <c r="R10" i="16"/>
  <c r="P14" i="16"/>
  <c r="R9" i="16"/>
  <c r="O14" i="16"/>
  <c r="H76" i="16"/>
  <c r="H48" i="16"/>
  <c r="C49" i="16"/>
  <c r="K49" i="16"/>
  <c r="L61" i="16"/>
  <c r="T61" i="16"/>
  <c r="M61" i="16"/>
  <c r="U61" i="16"/>
  <c r="B48" i="16"/>
  <c r="B50" i="16" s="1"/>
  <c r="J48" i="16"/>
  <c r="E49" i="16"/>
  <c r="M49" i="16"/>
  <c r="N61" i="16"/>
  <c r="V61" i="16"/>
  <c r="C48" i="16"/>
  <c r="K48" i="16"/>
  <c r="F49" i="16"/>
  <c r="N49" i="16"/>
  <c r="O61" i="16"/>
  <c r="W61" i="16"/>
  <c r="D48" i="16"/>
  <c r="D50" i="16" s="1"/>
  <c r="L48" i="16"/>
  <c r="G49" i="16"/>
  <c r="H61" i="16"/>
  <c r="P61" i="16"/>
  <c r="X61" i="16"/>
  <c r="E48" i="16"/>
  <c r="E50" i="16" s="1"/>
  <c r="M48" i="16"/>
  <c r="H49" i="16"/>
  <c r="I61" i="16"/>
  <c r="Q61" i="16"/>
  <c r="Y61" i="16"/>
  <c r="F48" i="16"/>
  <c r="F50" i="16" s="1"/>
  <c r="N48" i="16"/>
  <c r="J61" i="16"/>
  <c r="R61" i="16"/>
  <c r="B16" i="15"/>
  <c r="K38" i="13"/>
  <c r="J38" i="13"/>
  <c r="B18" i="15"/>
  <c r="B14" i="15"/>
  <c r="B60" i="15"/>
  <c r="J43" i="16" s="1"/>
  <c r="D60" i="15"/>
  <c r="L43" i="16" s="1"/>
  <c r="AB14" i="15"/>
  <c r="K30" i="13"/>
  <c r="A55" i="15"/>
  <c r="F60" i="15"/>
  <c r="AB21" i="15"/>
  <c r="AB20" i="15"/>
  <c r="AE20" i="15" s="1"/>
  <c r="AB19" i="15"/>
  <c r="AE19" i="15" s="1"/>
  <c r="M50" i="16" l="1"/>
  <c r="L50" i="16"/>
  <c r="I50" i="16"/>
  <c r="G50" i="16"/>
  <c r="J43" i="13"/>
  <c r="L43" i="13"/>
  <c r="M43" i="13" s="1"/>
  <c r="H17" i="15" s="1"/>
  <c r="M43" i="16"/>
  <c r="K50" i="16"/>
  <c r="A60" i="15"/>
  <c r="I38" i="16"/>
  <c r="I43" i="16" s="1"/>
  <c r="J50" i="16"/>
  <c r="N50" i="16"/>
  <c r="H50" i="16"/>
  <c r="O16" i="16"/>
  <c r="O17" i="16"/>
  <c r="O18" i="16"/>
  <c r="P18" i="16"/>
  <c r="P16" i="16"/>
  <c r="P17" i="16"/>
  <c r="N16" i="16"/>
  <c r="S9" i="16" s="1"/>
  <c r="S8" i="16"/>
  <c r="N18" i="16"/>
  <c r="S11" i="16" s="1"/>
  <c r="N17" i="16"/>
  <c r="S10" i="16" s="1"/>
  <c r="C50" i="16"/>
  <c r="E60" i="15"/>
  <c r="C60" i="15"/>
  <c r="B48" i="13"/>
  <c r="M48" i="13"/>
  <c r="B49" i="13"/>
  <c r="G49" i="13"/>
  <c r="I49" i="13"/>
  <c r="H49" i="13"/>
  <c r="M49" i="13"/>
  <c r="E49" i="13"/>
  <c r="L49" i="13"/>
  <c r="D49" i="13"/>
  <c r="K49" i="13"/>
  <c r="C49" i="13"/>
  <c r="N49" i="13"/>
  <c r="F49" i="13"/>
  <c r="J49" i="13"/>
  <c r="L48" i="13"/>
  <c r="K48" i="13"/>
  <c r="H48" i="13"/>
  <c r="I38" i="13"/>
  <c r="I43" i="13" s="1"/>
  <c r="C48" i="13"/>
  <c r="E48" i="13"/>
  <c r="D48" i="13"/>
  <c r="N48" i="13"/>
  <c r="J48" i="13"/>
  <c r="I48" i="13"/>
  <c r="G48" i="13"/>
  <c r="F48" i="13"/>
  <c r="E55" i="15"/>
  <c r="AD14" i="15"/>
  <c r="J15" i="15" s="1"/>
  <c r="AC14" i="15"/>
  <c r="I15" i="15" s="1"/>
  <c r="AE14" i="15"/>
  <c r="K15" i="15" s="1"/>
  <c r="AB25" i="15"/>
  <c r="AB13" i="15"/>
  <c r="AC19" i="15"/>
  <c r="AC21" i="15"/>
  <c r="AD19" i="15"/>
  <c r="AD21" i="15"/>
  <c r="J16" i="15" s="1"/>
  <c r="AE21" i="15"/>
  <c r="K16" i="15" s="1"/>
  <c r="AB24" i="15"/>
  <c r="AB26" i="15"/>
  <c r="AC20" i="15"/>
  <c r="AD20" i="15"/>
  <c r="K43" i="16" l="1"/>
  <c r="B54" i="16"/>
  <c r="M38" i="16"/>
  <c r="D55" i="16"/>
  <c r="J54" i="16"/>
  <c r="B55" i="16"/>
  <c r="H54" i="16"/>
  <c r="I54" i="16"/>
  <c r="C54" i="16"/>
  <c r="K54" i="16"/>
  <c r="D54" i="16"/>
  <c r="E54" i="16"/>
  <c r="E55" i="16"/>
  <c r="L54" i="16"/>
  <c r="M54" i="16"/>
  <c r="F54" i="16"/>
  <c r="C55" i="16"/>
  <c r="N54" i="16"/>
  <c r="G54" i="16"/>
  <c r="E61" i="16"/>
  <c r="B61" i="16"/>
  <c r="B61" i="13"/>
  <c r="B64" i="13" s="1"/>
  <c r="B54" i="13"/>
  <c r="D54" i="13"/>
  <c r="M50" i="13"/>
  <c r="L50" i="13"/>
  <c r="J50" i="13"/>
  <c r="E55" i="13"/>
  <c r="B55" i="13"/>
  <c r="C55" i="13"/>
  <c r="D55" i="13"/>
  <c r="L54" i="13"/>
  <c r="J54" i="13"/>
  <c r="K54" i="13"/>
  <c r="C54" i="13"/>
  <c r="G54" i="13"/>
  <c r="K50" i="13"/>
  <c r="N50" i="13"/>
  <c r="F54" i="13"/>
  <c r="N54" i="13"/>
  <c r="I54" i="13"/>
  <c r="H54" i="13"/>
  <c r="K43" i="13"/>
  <c r="H15" i="15" s="1"/>
  <c r="E54" i="13"/>
  <c r="M54" i="13"/>
  <c r="G50" i="13"/>
  <c r="H50" i="13"/>
  <c r="D50" i="13"/>
  <c r="C50" i="13"/>
  <c r="I50" i="13"/>
  <c r="E50" i="13"/>
  <c r="B50" i="13"/>
  <c r="F50" i="13"/>
  <c r="AE13" i="15"/>
  <c r="AD13" i="15"/>
  <c r="AC13" i="15"/>
  <c r="AE25" i="15"/>
  <c r="AD25" i="15"/>
  <c r="AC25" i="15"/>
  <c r="AD12" i="15"/>
  <c r="AC12" i="15"/>
  <c r="AE12" i="15"/>
  <c r="AE24" i="15"/>
  <c r="AD24" i="15"/>
  <c r="AC24" i="15"/>
  <c r="AE26" i="15"/>
  <c r="K19" i="15" s="1"/>
  <c r="AD26" i="15"/>
  <c r="J19" i="15" s="1"/>
  <c r="AC26" i="15"/>
  <c r="M38" i="13" l="1"/>
  <c r="C6" i="15" s="1"/>
  <c r="C56" i="16"/>
  <c r="D56" i="16"/>
  <c r="E56" i="16"/>
  <c r="B56" i="16"/>
  <c r="B68" i="16"/>
  <c r="B64" i="16"/>
  <c r="H55" i="16" s="1"/>
  <c r="H56" i="16" s="1"/>
  <c r="B62" i="16"/>
  <c r="F55" i="16" s="1"/>
  <c r="F56" i="16" s="1"/>
  <c r="B69" i="16"/>
  <c r="B66" i="16"/>
  <c r="N55" i="16" s="1"/>
  <c r="N56" i="16" s="1"/>
  <c r="B70" i="16"/>
  <c r="B67" i="16"/>
  <c r="B63" i="16"/>
  <c r="G55" i="16" s="1"/>
  <c r="G56" i="16" s="1"/>
  <c r="B65" i="16"/>
  <c r="B63" i="13"/>
  <c r="H55" i="13" s="1"/>
  <c r="H56" i="13" s="1"/>
  <c r="B66" i="13"/>
  <c r="N55" i="13" s="1"/>
  <c r="N56" i="13" s="1"/>
  <c r="B68" i="13"/>
  <c r="B69" i="13"/>
  <c r="B67" i="13"/>
  <c r="B65" i="13"/>
  <c r="M55" i="13" s="1"/>
  <c r="M56" i="13" s="1"/>
  <c r="B62" i="13"/>
  <c r="B70" i="13"/>
  <c r="C56" i="13"/>
  <c r="B56" i="13"/>
  <c r="D56" i="13"/>
  <c r="E56" i="13"/>
  <c r="G55" i="13" l="1"/>
  <c r="G56" i="13" s="1"/>
  <c r="F55" i="13"/>
  <c r="F56" i="13" s="1"/>
  <c r="K55" i="16"/>
  <c r="K56" i="16" s="1"/>
  <c r="L55" i="16"/>
  <c r="L56" i="16" s="1"/>
  <c r="L55" i="13"/>
  <c r="L56" i="13" s="1"/>
  <c r="J55" i="16"/>
  <c r="J56" i="16" s="1"/>
  <c r="I55" i="16"/>
  <c r="I56" i="16" s="1"/>
  <c r="I55" i="13"/>
  <c r="I56" i="13" s="1"/>
  <c r="M55" i="16"/>
  <c r="M56" i="16" s="1"/>
  <c r="K55" i="13"/>
  <c r="K56" i="13" s="1"/>
  <c r="J55" i="13"/>
  <c r="J56" i="13" s="1"/>
  <c r="N43" i="13" l="1"/>
  <c r="N43" i="16"/>
  <c r="F5" i="15" l="1"/>
  <c r="F9" i="15" s="1"/>
  <c r="F61" i="16"/>
  <c r="H75" i="16" s="1"/>
  <c r="F84" i="16"/>
  <c r="E9" i="15"/>
  <c r="R7" i="13"/>
  <c r="C42" i="13"/>
  <c r="F14" i="13"/>
  <c r="F15" i="13"/>
  <c r="F16" i="13"/>
  <c r="F17" i="13"/>
  <c r="F18" i="13"/>
  <c r="F19" i="13"/>
  <c r="F20" i="13"/>
  <c r="F21" i="13"/>
  <c r="F22" i="13"/>
  <c r="F23" i="13"/>
  <c r="F24" i="13"/>
  <c r="F13" i="13"/>
  <c r="J4" i="13"/>
  <c r="J5" i="13"/>
  <c r="P11" i="13" s="1"/>
  <c r="J6" i="13"/>
  <c r="J7" i="13"/>
  <c r="J8" i="13"/>
  <c r="J3" i="13"/>
  <c r="I4" i="13"/>
  <c r="I5" i="13"/>
  <c r="I6" i="13"/>
  <c r="I7" i="13"/>
  <c r="I8" i="13"/>
  <c r="I3" i="13"/>
  <c r="H4" i="13"/>
  <c r="H5" i="13"/>
  <c r="N11" i="13" s="1"/>
  <c r="S7" i="13" s="1"/>
  <c r="H6" i="13"/>
  <c r="H7" i="13"/>
  <c r="H8" i="13"/>
  <c r="H3" i="13"/>
  <c r="D4" i="13"/>
  <c r="D5" i="13"/>
  <c r="M14" i="13" s="1"/>
  <c r="N8" i="13" s="1"/>
  <c r="D6" i="13"/>
  <c r="D7" i="13"/>
  <c r="D8" i="13"/>
  <c r="D3" i="13"/>
  <c r="J74" i="16" l="1" a="1"/>
  <c r="J74" i="16" s="1"/>
  <c r="H78" i="16" a="1"/>
  <c r="H78" i="16" s="1"/>
  <c r="I16" i="15"/>
  <c r="H79" i="16" a="1"/>
  <c r="H79" i="16" s="1"/>
  <c r="H18" i="15" s="1"/>
  <c r="I18" i="15" s="1"/>
  <c r="K74" i="16" a="1"/>
  <c r="K74" i="16" s="1"/>
  <c r="K75" i="16" s="1" a="1"/>
  <c r="K75" i="16" s="1"/>
  <c r="J75" i="16" a="1"/>
  <c r="J75" i="16" s="1"/>
  <c r="O14" i="13"/>
  <c r="O17" i="13" s="1"/>
  <c r="O11" i="13"/>
  <c r="O18" i="13"/>
  <c r="R8" i="13"/>
  <c r="S6" i="13"/>
  <c r="R9" i="13"/>
  <c r="P8" i="13"/>
  <c r="O16" i="13"/>
  <c r="R6" i="13"/>
  <c r="R10" i="13"/>
  <c r="O8" i="13"/>
  <c r="R11" i="13"/>
  <c r="N14" i="13"/>
  <c r="P14" i="13"/>
  <c r="G13" i="13"/>
  <c r="G21" i="13"/>
  <c r="G14" i="13"/>
  <c r="G24" i="13"/>
  <c r="G20" i="13"/>
  <c r="G16" i="13"/>
  <c r="G17" i="13"/>
  <c r="G23" i="13"/>
  <c r="G19" i="13"/>
  <c r="G15" i="13"/>
  <c r="G22" i="13"/>
  <c r="G18" i="13"/>
  <c r="H16" i="15" l="1"/>
  <c r="N16" i="13"/>
  <c r="S9" i="13" s="1"/>
  <c r="S8" i="13"/>
  <c r="N18" i="13"/>
  <c r="S11" i="13" s="1"/>
  <c r="N17" i="13"/>
  <c r="S10" i="13" s="1"/>
  <c r="P18" i="13"/>
  <c r="P17" i="13"/>
  <c r="P16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<sst xmlns="http://schemas.openxmlformats.org/spreadsheetml/2006/main" count="289" uniqueCount="105">
  <si>
    <t>Average Completion time (Days)</t>
  </si>
  <si>
    <t>Workers to complete in 45 days per Incident</t>
  </si>
  <si>
    <t>Incident Group</t>
  </si>
  <si>
    <t>Average Lag time (Days)</t>
  </si>
  <si>
    <t>Average Lag time (Months)</t>
  </si>
  <si>
    <t>Standard</t>
  </si>
  <si>
    <t>Work Completed</t>
  </si>
  <si>
    <t>Specialized</t>
  </si>
  <si>
    <t>WC</t>
  </si>
  <si>
    <t>Pandemic (covid)</t>
  </si>
  <si>
    <t>Eathquake</t>
  </si>
  <si>
    <t>Hurricane</t>
  </si>
  <si>
    <t>Results</t>
  </si>
  <si>
    <t>#</t>
  </si>
  <si>
    <t>Storms</t>
  </si>
  <si>
    <t>recommended hires for month</t>
  </si>
  <si>
    <t>Tropical activity</t>
  </si>
  <si>
    <t>Wildfires</t>
  </si>
  <si>
    <t>Other</t>
  </si>
  <si>
    <t>recommended hires for incident</t>
  </si>
  <si>
    <t>Monthly Staffing Recommendation to complete work in 45 days</t>
  </si>
  <si>
    <t>Month</t>
  </si>
  <si>
    <t>Sum each month</t>
  </si>
  <si>
    <t>% of total</t>
  </si>
  <si>
    <t>Select from list</t>
  </si>
  <si>
    <t>recommendation additional hires</t>
  </si>
  <si>
    <t>January</t>
  </si>
  <si>
    <t>Project by Industry</t>
  </si>
  <si>
    <t>Planned Schedule</t>
  </si>
  <si>
    <t>Planned Budget</t>
  </si>
  <si>
    <t>due month</t>
  </si>
  <si>
    <t>standard</t>
  </si>
  <si>
    <t>February</t>
  </si>
  <si>
    <t>December</t>
  </si>
  <si>
    <t>March</t>
  </si>
  <si>
    <t>Hiring status</t>
  </si>
  <si>
    <t>April</t>
  </si>
  <si>
    <t>FTE</t>
  </si>
  <si>
    <t>May</t>
  </si>
  <si>
    <t>TAC</t>
  </si>
  <si>
    <t>June</t>
  </si>
  <si>
    <t>LH</t>
  </si>
  <si>
    <t>July</t>
  </si>
  <si>
    <t>August</t>
  </si>
  <si>
    <t>September</t>
  </si>
  <si>
    <t>October</t>
  </si>
  <si>
    <t>November</t>
  </si>
  <si>
    <t>Project Types</t>
  </si>
  <si>
    <t>Tech depreciation</t>
  </si>
  <si>
    <t>Yearly expected Revenue</t>
  </si>
  <si>
    <t>Yearly expected costs</t>
  </si>
  <si>
    <t>Discount rate</t>
  </si>
  <si>
    <t>Inflation</t>
  </si>
  <si>
    <t>Biotech Industry</t>
  </si>
  <si>
    <t>Chemical industry</t>
  </si>
  <si>
    <t>hh</t>
  </si>
  <si>
    <t>IT/Tech industry</t>
  </si>
  <si>
    <t>INITIAL PROJECT PLAN</t>
  </si>
  <si>
    <t>Planned Schedule (Years)</t>
  </si>
  <si>
    <t>Planned Budget ($)</t>
  </si>
  <si>
    <t>Project lifecycle</t>
  </si>
  <si>
    <t>NPV ($)</t>
  </si>
  <si>
    <t>Work Type</t>
  </si>
  <si>
    <t>Total # of Rec employees</t>
  </si>
  <si>
    <t>FTE's</t>
  </si>
  <si>
    <t>TAC's</t>
  </si>
  <si>
    <t>LH's</t>
  </si>
  <si>
    <t>DEVIATION FROM PROJECT PLAN</t>
  </si>
  <si>
    <t>Sum</t>
  </si>
  <si>
    <t>Schedule Deviation (Years)</t>
  </si>
  <si>
    <t>% change Schedule</t>
  </si>
  <si>
    <t>Budget Deviation($)</t>
  </si>
  <si>
    <t>% Change Budget</t>
  </si>
  <si>
    <t>Years</t>
  </si>
  <si>
    <t>Costs</t>
  </si>
  <si>
    <t>Revenue</t>
  </si>
  <si>
    <t>Total</t>
  </si>
  <si>
    <t>Deviation Years</t>
  </si>
  <si>
    <t>Tech Depn</t>
  </si>
  <si>
    <t>Total investment</t>
  </si>
  <si>
    <t>START HERE USING DROP-DOWN</t>
  </si>
  <si>
    <t xml:space="preserve">ENTER ADDITIONAL BUDGET AND SCHEDULE HERE </t>
  </si>
  <si>
    <t xml:space="preserve">Select Industry </t>
  </si>
  <si>
    <t>Enter Budget Deviation ($)</t>
  </si>
  <si>
    <t>Enter Planned Budget ($)</t>
  </si>
  <si>
    <t>Enter Schedule Deviation  (in years)</t>
  </si>
  <si>
    <t>Enter Planned Schedule  (in years)</t>
  </si>
  <si>
    <t>Project Valuation/ Expected revenue ($)</t>
  </si>
  <si>
    <t>New Net Present Value ($)</t>
  </si>
  <si>
    <t>Recommended hires for months</t>
  </si>
  <si>
    <t>Net Present Value ($)</t>
  </si>
  <si>
    <t xml:space="preserve">Final Decision </t>
  </si>
  <si>
    <t>Work completed</t>
  </si>
  <si>
    <t>Absolute value</t>
  </si>
  <si>
    <t>Change in Schedule</t>
  </si>
  <si>
    <t>Recommended hires for incidents</t>
  </si>
  <si>
    <t>Change in Budget</t>
  </si>
  <si>
    <t xml:space="preserve">EMV </t>
  </si>
  <si>
    <t>WIP</t>
  </si>
  <si>
    <t>Additional hires</t>
  </si>
  <si>
    <t>Search Value</t>
  </si>
  <si>
    <t>Min value before negative NPV</t>
  </si>
  <si>
    <t>Schedule and Budget tolerance</t>
  </si>
  <si>
    <t>IF Min. value is at cell H74</t>
  </si>
  <si>
    <t>cost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</si>
</sst>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</numFmts>
  <fonts count="12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F528F"/>
      <name val="Arial"/>
      <family val="2"/>
    </font>
    <font>
      <b/>
      <sz val="11"/>
      <color rgb="FF0F528F"/>
      <name val="Arial"/>
      <family val="2"/>
    </font>
    <font>
      <b/>
      <sz val="16"/>
      <color theme="1"/>
      <name val="Arial"/>
      <family val="2"/>
    </font>
    <font>
      <sz val="18"/>
      <color theme="0"/>
      <name val="Arial"/>
      <family val="2"/>
    </font>
    <font>
      <b/>
      <i/>
      <sz val="11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0F528F"/>
        <bgColor indexed="64"/>
      </patternFill>
    </fill>
    <fill>
      <patternFill patternType="solid">
        <fgColor rgb="FF0F538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08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1" applyFont="1" applyAlignment="1"/>
    <xf numFmtId="0" fontId="0" fillId="2" borderId="6" xfId="0" applyFill="1" applyBorder="1"/>
    <xf numFmtId="0" fontId="0" fillId="2" borderId="7" xfId="0" applyFill="1" applyBorder="1"/>
    <xf numFmtId="0" fontId="0" fillId="5" borderId="2" xfId="0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3" xfId="0" applyFont="1" applyFill="1" applyBorder="1"/>
    <xf numFmtId="0" fontId="2" fillId="3" borderId="2" xfId="0" applyFont="1" applyFill="1" applyBorder="1"/>
    <xf numFmtId="0" fontId="4" fillId="5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  <xf numFmtId="0" fontId="0" fillId="7" borderId="4" xfId="0" applyFill="1" applyBorder="1"/>
    <xf numFmtId="0" fontId="0" fillId="7" borderId="7" xfId="0" applyFill="1" applyBorder="1"/>
    <xf numFmtId="0" fontId="0" fillId="8" borderId="21" xfId="0" applyFill="1" applyBorder="1"/>
    <xf numFmtId="0" fontId="1" fillId="3" borderId="0" xfId="0" applyFont="1" applyFill="1"/>
    <xf numFmtId="0" fontId="0" fillId="3" borderId="0" xfId="0" applyFill="1"/>
    <xf numFmtId="0" fontId="0" fillId="11" borderId="22" xfId="0" applyFill="1" applyBorder="1"/>
    <xf numFmtId="0" fontId="0" fillId="11" borderId="21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2" borderId="0" xfId="0" applyFill="1"/>
    <xf numFmtId="0" fontId="0" fillId="12" borderId="1" xfId="0" applyFill="1" applyBorder="1"/>
    <xf numFmtId="0" fontId="0" fillId="13" borderId="0" xfId="0" applyFill="1"/>
    <xf numFmtId="0" fontId="1" fillId="2" borderId="5" xfId="0" applyFont="1" applyFill="1" applyBorder="1"/>
    <xf numFmtId="0" fontId="1" fillId="0" borderId="0" xfId="0" applyFont="1"/>
    <xf numFmtId="165" fontId="0" fillId="2" borderId="7" xfId="0" applyNumberFormat="1" applyFill="1" applyBorder="1"/>
    <xf numFmtId="0" fontId="0" fillId="2" borderId="6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/>
    </xf>
    <xf numFmtId="0" fontId="1" fillId="8" borderId="20" xfId="0" applyFont="1" applyFill="1" applyBorder="1"/>
    <xf numFmtId="0" fontId="1" fillId="11" borderId="8" xfId="0" applyFont="1" applyFill="1" applyBorder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0" fontId="0" fillId="0" borderId="0" xfId="0" applyNumberFormat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164" fontId="0" fillId="0" borderId="0" xfId="2" applyNumberFormat="1" applyFont="1"/>
    <xf numFmtId="165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9" fontId="0" fillId="2" borderId="7" xfId="1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164" fontId="0" fillId="9" borderId="12" xfId="0" applyNumberFormat="1" applyFill="1" applyBorder="1" applyAlignment="1">
      <alignment horizontal="center"/>
    </xf>
    <xf numFmtId="0" fontId="1" fillId="12" borderId="1" xfId="0" applyFont="1" applyFill="1" applyBorder="1"/>
    <xf numFmtId="0" fontId="2" fillId="12" borderId="1" xfId="0" applyFont="1" applyFill="1" applyBorder="1"/>
    <xf numFmtId="0" fontId="1" fillId="11" borderId="20" xfId="0" applyFont="1" applyFill="1" applyBorder="1"/>
    <xf numFmtId="165" fontId="0" fillId="12" borderId="1" xfId="0" applyNumberForma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9" fontId="2" fillId="0" borderId="0" xfId="0" applyNumberFormat="1" applyFont="1"/>
    <xf numFmtId="2" fontId="0" fillId="0" borderId="0" xfId="0" applyNumberFormat="1"/>
    <xf numFmtId="9" fontId="1" fillId="0" borderId="0" xfId="1" applyFont="1"/>
    <xf numFmtId="0" fontId="1" fillId="0" borderId="0" xfId="1" applyNumberFormat="1" applyFont="1"/>
    <xf numFmtId="0" fontId="6" fillId="0" borderId="0" xfId="0" applyFont="1"/>
    <xf numFmtId="9" fontId="0" fillId="0" borderId="0" xfId="1" applyFont="1"/>
    <xf numFmtId="0" fontId="0" fillId="9" borderId="0" xfId="0" applyFill="1"/>
    <xf numFmtId="0" fontId="0" fillId="9" borderId="0" xfId="1" applyNumberFormat="1" applyFont="1" applyFill="1"/>
    <xf numFmtId="166" fontId="0" fillId="9" borderId="0" xfId="0" applyNumberFormat="1" applyFill="1"/>
    <xf numFmtId="0" fontId="0" fillId="3" borderId="21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12" borderId="1" xfId="0" applyFont="1" applyFill="1" applyBorder="1"/>
    <xf numFmtId="1" fontId="7" fillId="12" borderId="1" xfId="0" applyNumberFormat="1" applyFont="1" applyFill="1" applyBorder="1"/>
    <xf numFmtId="9" fontId="7" fillId="12" borderId="1" xfId="1" applyFont="1" applyFill="1" applyBorder="1" applyAlignment="1"/>
    <xf numFmtId="0" fontId="8" fillId="12" borderId="1" xfId="0" applyFont="1" applyFill="1" applyBorder="1"/>
    <xf numFmtId="0" fontId="7" fillId="12" borderId="1" xfId="0" applyFont="1" applyFill="1" applyBorder="1" applyAlignment="1">
      <alignment horizontal="center"/>
    </xf>
    <xf numFmtId="165" fontId="7" fillId="12" borderId="1" xfId="0" applyNumberFormat="1" applyFont="1" applyFill="1" applyBorder="1" applyAlignment="1">
      <alignment horizontal="center"/>
    </xf>
    <xf numFmtId="165" fontId="7" fillId="12" borderId="1" xfId="0" applyNumberFormat="1" applyFont="1" applyFill="1" applyBorder="1"/>
    <xf numFmtId="9" fontId="7" fillId="12" borderId="1" xfId="1" applyFont="1" applyFill="1" applyBorder="1" applyAlignment="1">
      <alignment horizontal="center"/>
    </xf>
    <xf numFmtId="9" fontId="7" fillId="12" borderId="1" xfId="0" applyNumberFormat="1" applyFont="1" applyFill="1" applyBorder="1"/>
    <xf numFmtId="165" fontId="0" fillId="15" borderId="23" xfId="0" applyNumberFormat="1" applyFill="1" applyBorder="1" applyAlignment="1">
      <alignment horizontal="center"/>
    </xf>
    <xf numFmtId="9" fontId="2" fillId="16" borderId="12" xfId="0" applyNumberFormat="1" applyFont="1" applyFill="1" applyBorder="1" applyAlignment="1">
      <alignment horizontal="center"/>
    </xf>
    <xf numFmtId="9" fontId="2" fillId="16" borderId="24" xfId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164" fontId="1" fillId="9" borderId="21" xfId="0" applyNumberFormat="1" applyFont="1" applyFill="1" applyBorder="1" applyAlignment="1">
      <alignment horizontal="center"/>
    </xf>
    <xf numFmtId="10" fontId="0" fillId="9" borderId="1" xfId="0" applyNumberFormat="1" applyFill="1" applyBorder="1" applyAlignment="1">
      <alignment horizontal="center"/>
    </xf>
    <xf numFmtId="165" fontId="0" fillId="16" borderId="21" xfId="0" applyNumberFormat="1" applyFill="1" applyBorder="1" applyAlignment="1">
      <alignment horizontal="center"/>
    </xf>
    <xf numFmtId="0" fontId="1" fillId="8" borderId="11" xfId="0" applyFont="1" applyFill="1" applyBorder="1"/>
    <xf numFmtId="0" fontId="9" fillId="10" borderId="20" xfId="0" applyFont="1" applyFill="1" applyBorder="1" applyAlignment="1">
      <alignment horizontal="center"/>
    </xf>
    <xf numFmtId="165" fontId="10" fillId="14" borderId="2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4" borderId="20" xfId="0" applyFont="1" applyFill="1" applyBorder="1" applyAlignment="1">
      <alignment horizontal="center"/>
    </xf>
    <xf numFmtId="0" fontId="9" fillId="14" borderId="22" xfId="0" applyFont="1" applyFill="1" applyBorder="1" applyAlignment="1">
      <alignment horizontal="center"/>
    </xf>
    <xf numFmtId="0" fontId="0" fillId="8" borderId="25" xfId="0" applyFill="1" applyBorder="1"/>
    <xf numFmtId="0" fontId="4" fillId="16" borderId="12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F528F"/>
      <color rgb="FF004B96"/>
      <color rgb="FF0F5383"/>
      <color rgb="FF154E7D"/>
      <color rgb="FF0F5783"/>
      <color rgb="FF105E8E"/>
      <color rgb="FF136DA5"/>
      <color rgb="FF005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9" Type="http://schemas.microsoft.com/office/2017/06/relationships/rdRichValueTypes" Target="richData/rdRichValueTypes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vippng.com/preview/hhoiTio_the-george-washington-university-portrait-logo-george-washington/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391883</xdr:colOff>
      <xdr:row>14</xdr:row>
      <xdr:rowOff>87086</xdr:rowOff>
    </xdr:from>
    <xdr:to>
      <xdr:col>10</xdr:col>
      <xdr:colOff>587827</xdr:colOff>
      <xdr:row>18</xdr:row>
      <xdr:rowOff>87086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D5D7B268-F8E9-408C-A3BA-0C5BE212E9AE}"/>
            </a:ext>
          </a:extLst>
        </xdr:cNvPr>
        <xdr:cNvSpPr/>
      </xdr:nvSpPr>
      <xdr:spPr>
        <a:xfrm rot="10800000">
          <a:off x="10417626" y="2558143"/>
          <a:ext cx="195944" cy="6966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359227</xdr:colOff>
      <xdr:row>14</xdr:row>
      <xdr:rowOff>76200</xdr:rowOff>
    </xdr:from>
    <xdr:to>
      <xdr:col>9</xdr:col>
      <xdr:colOff>555171</xdr:colOff>
      <xdr:row>18</xdr:row>
      <xdr:rowOff>76200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9097BB24-9411-4163-9C80-F37072D7DC63}"/>
            </a:ext>
          </a:extLst>
        </xdr:cNvPr>
        <xdr:cNvSpPr/>
      </xdr:nvSpPr>
      <xdr:spPr>
        <a:xfrm rot="10800000">
          <a:off x="9448798" y="2547257"/>
          <a:ext cx="195944" cy="6966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228598</xdr:colOff>
      <xdr:row>14</xdr:row>
      <xdr:rowOff>54429</xdr:rowOff>
    </xdr:from>
    <xdr:to>
      <xdr:col>11</xdr:col>
      <xdr:colOff>424542</xdr:colOff>
      <xdr:row>18</xdr:row>
      <xdr:rowOff>54429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76B69466-2CF0-45A5-A2B4-BD6F08E2ABDE}"/>
            </a:ext>
          </a:extLst>
        </xdr:cNvPr>
        <xdr:cNvSpPr/>
      </xdr:nvSpPr>
      <xdr:spPr>
        <a:xfrm rot="10800000">
          <a:off x="11288484" y="2525486"/>
          <a:ext cx="195944" cy="6966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391886</xdr:colOff>
      <xdr:row>20</xdr:row>
      <xdr:rowOff>21772</xdr:rowOff>
    </xdr:from>
    <xdr:to>
      <xdr:col>11</xdr:col>
      <xdr:colOff>380999</xdr:colOff>
      <xdr:row>25</xdr:row>
      <xdr:rowOff>10886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B60FB6F-3E68-4228-9C9A-9C9C368B815D}"/>
            </a:ext>
          </a:extLst>
        </xdr:cNvPr>
        <xdr:cNvSpPr txBox="1"/>
      </xdr:nvSpPr>
      <xdr:spPr>
        <a:xfrm>
          <a:off x="9481457" y="3537858"/>
          <a:ext cx="1959428" cy="859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Click on each cell to use drop down list of options</a:t>
          </a:r>
        </a:p>
      </xdr:txBody>
    </xdr:sp>
    <xdr:clientData/>
  </xdr:twoCellAnchor>
  <xdr:twoCellAnchor>
    <xdr:from>
      <xdr:col>9</xdr:col>
      <xdr:colOff>413657</xdr:colOff>
      <xdr:row>18</xdr:row>
      <xdr:rowOff>32657</xdr:rowOff>
    </xdr:from>
    <xdr:to>
      <xdr:col>11</xdr:col>
      <xdr:colOff>348342</xdr:colOff>
      <xdr:row>20</xdr:row>
      <xdr:rowOff>0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7B7BA74A-D739-41CD-973D-C2A0DC8F7378}"/>
            </a:ext>
          </a:extLst>
        </xdr:cNvPr>
        <xdr:cNvSpPr/>
      </xdr:nvSpPr>
      <xdr:spPr>
        <a:xfrm rot="5400000">
          <a:off x="10297885" y="2405743"/>
          <a:ext cx="315686" cy="1905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1588149</xdr:colOff>
      <xdr:row>19</xdr:row>
      <xdr:rowOff>50517</xdr:rowOff>
    </xdr:from>
    <xdr:to>
      <xdr:col>6</xdr:col>
      <xdr:colOff>563788</xdr:colOff>
      <xdr:row>34</xdr:row>
      <xdr:rowOff>49125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4B92FED-F115-417B-9AFC-41DC08D5F270}"/>
            </a:ext>
          </a:extLst>
        </xdr:cNvPr>
        <xdr:cNvGrpSpPr/>
      </xdr:nvGrpSpPr>
      <xdr:grpSpPr>
        <a:xfrm>
          <a:off x="8208024" y="3793842"/>
          <a:ext cx="2623714" cy="2713233"/>
          <a:chOff x="4329840" y="2734041"/>
          <a:chExt cx="1715821" cy="2339378"/>
        </a:xfrm>
      </xdr:grpSpPr>
      <xdr:pic>
        <xdr:nvPicPr>
          <xdr:cNvPr id="6" name="Picture 5" descr="The George Washington University Portrait Logo - George Washington Logo |  Transparent PNG Download #3525931 - Vippng">
            <a:extLst>
              <a:ext uri="{FF2B5EF4-FFF2-40B4-BE49-F238E27FC236}">
                <a16:creationId xmlns:a16="http://schemas.microsoft.com/office/drawing/2014/main" id="{8B779304-2A5B-F56D-C55A-041E851CB8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29840" y="2734041"/>
            <a:ext cx="1604725" cy="2328127"/>
          </a:xfrm>
          <a:prstGeom prst="roundRect">
            <a:avLst>
              <a:gd name="adj" fmla="val 8594"/>
            </a:avLst>
          </a:prstGeom>
          <a:solidFill>
            <a:srgbClr val="FFFFFF">
              <a:shade val="85000"/>
            </a:srgbClr>
          </a:solidFill>
          <a:ln>
            <a:noFill/>
          </a:ln>
          <a:effectLst>
            <a:reflection blurRad="12700" stA="38000" endPos="28000" dist="5000" dir="5400000" sy="-100000" algn="bl" rotWithShape="0"/>
          </a:effectLst>
        </xdr:spPr>
      </xdr:pic>
      <xdr:sp macro="" textlink="">
        <xdr:nvSpPr>
          <xdr:cNvPr id="7" name="TextBox 6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BBBC0B6-3445-57F9-7E51-B702DA1C1035}"/>
              </a:ext>
            </a:extLst>
          </xdr:cNvPr>
          <xdr:cNvSpPr txBox="1"/>
        </xdr:nvSpPr>
        <xdr:spPr>
          <a:xfrm>
            <a:off x="5675992" y="4930298"/>
            <a:ext cx="369669" cy="1431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300" u="sng">
                <a:solidFill>
                  <a:sysClr val="windowText" lastClr="000000"/>
                </a:solidFill>
              </a:rPr>
              <a:t>source</a:t>
            </a:r>
          </a:p>
        </xdr:txBody>
      </xdr:sp>
    </xdr:grpSp>
    <xdr:clientData/>
  </xdr:twoCellAnchor>
  <xdr:twoCellAnchor editAs="oneCell">
    <xdr:from>
      <xdr:col>2</xdr:col>
      <xdr:colOff>959068</xdr:colOff>
      <xdr:row>19</xdr:row>
      <xdr:rowOff>59120</xdr:rowOff>
    </xdr:from>
    <xdr:to>
      <xdr:col>4</xdr:col>
      <xdr:colOff>1525147</xdr:colOff>
      <xdr:row>34</xdr:row>
      <xdr:rowOff>84165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8AA47A-9F9B-4DC5-8B96-C75802FE5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/>
        </a:blip>
        <a:stretch>
          <a:fillRect/>
        </a:stretch>
      </xdr:blipFill>
      <xdr:spPr>
        <a:xfrm>
          <a:off x="4985844" y="3698327"/>
          <a:ext cx="3152822" cy="278401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391883</xdr:colOff>
      <xdr:row>14</xdr:row>
      <xdr:rowOff>87086</xdr:rowOff>
    </xdr:from>
    <xdr:to>
      <xdr:col>10</xdr:col>
      <xdr:colOff>587827</xdr:colOff>
      <xdr:row>18</xdr:row>
      <xdr:rowOff>87086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7D75463-212A-443F-B5DF-FECD49C6BD89}"/>
            </a:ext>
          </a:extLst>
        </xdr:cNvPr>
        <xdr:cNvSpPr/>
      </xdr:nvSpPr>
      <xdr:spPr>
        <a:xfrm rot="10800000">
          <a:off x="14365058" y="2744561"/>
          <a:ext cx="195944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359227</xdr:colOff>
      <xdr:row>14</xdr:row>
      <xdr:rowOff>76200</xdr:rowOff>
    </xdr:from>
    <xdr:to>
      <xdr:col>9</xdr:col>
      <xdr:colOff>555171</xdr:colOff>
      <xdr:row>18</xdr:row>
      <xdr:rowOff>76200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E79C2D4-7638-4892-879E-BE76AC4F6E49}"/>
            </a:ext>
          </a:extLst>
        </xdr:cNvPr>
        <xdr:cNvSpPr/>
      </xdr:nvSpPr>
      <xdr:spPr>
        <a:xfrm rot="10800000">
          <a:off x="12370252" y="2733675"/>
          <a:ext cx="195944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228598</xdr:colOff>
      <xdr:row>14</xdr:row>
      <xdr:rowOff>54429</xdr:rowOff>
    </xdr:from>
    <xdr:to>
      <xdr:col>11</xdr:col>
      <xdr:colOff>424542</xdr:colOff>
      <xdr:row>18</xdr:row>
      <xdr:rowOff>54429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7E08F6-2C40-4765-A127-52FE4CBB2ABA}"/>
            </a:ext>
          </a:extLst>
        </xdr:cNvPr>
        <xdr:cNvSpPr/>
      </xdr:nvSpPr>
      <xdr:spPr>
        <a:xfrm rot="10800000">
          <a:off x="15611473" y="2711904"/>
          <a:ext cx="195944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391886</xdr:colOff>
      <xdr:row>20</xdr:row>
      <xdr:rowOff>21772</xdr:rowOff>
    </xdr:from>
    <xdr:to>
      <xdr:col>11</xdr:col>
      <xdr:colOff>380999</xdr:colOff>
      <xdr:row>25</xdr:row>
      <xdr:rowOff>10886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6916FC1-1FF3-423C-B9EE-3C57FEFA00AF}"/>
            </a:ext>
          </a:extLst>
        </xdr:cNvPr>
        <xdr:cNvSpPr txBox="1"/>
      </xdr:nvSpPr>
      <xdr:spPr>
        <a:xfrm>
          <a:off x="12402911" y="3803197"/>
          <a:ext cx="3360963" cy="8939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Click on each cell to use drop down list of options</a:t>
          </a:r>
        </a:p>
      </xdr:txBody>
    </xdr:sp>
    <xdr:clientData/>
  </xdr:twoCellAnchor>
  <xdr:twoCellAnchor>
    <xdr:from>
      <xdr:col>9</xdr:col>
      <xdr:colOff>413657</xdr:colOff>
      <xdr:row>18</xdr:row>
      <xdr:rowOff>32657</xdr:rowOff>
    </xdr:from>
    <xdr:to>
      <xdr:col>11</xdr:col>
      <xdr:colOff>348342</xdr:colOff>
      <xdr:row>20</xdr:row>
      <xdr:rowOff>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492A13A1-0A45-43F1-8EDC-E23D09362BD2}"/>
            </a:ext>
          </a:extLst>
        </xdr:cNvPr>
        <xdr:cNvSpPr/>
      </xdr:nvSpPr>
      <xdr:spPr>
        <a:xfrm rot="5400000">
          <a:off x="13913303" y="1963511"/>
          <a:ext cx="329293" cy="33065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7475-21DF-463B-BE44-CB201C9C30D4}">
  <dimension ref="A1:AA106"/>
  <sheetViews>
    <sheetView topLeftCell="A12" zoomScaleNormal="100" workbookViewId="0">
      <selection activeCell="G62" sqref="G62"/>
    </sheetView>
  </sheetViews>
  <sheetFormatPr defaultRowHeight="14.25"/>
  <cols>
    <col min="1" max="1" width="13.875" bestFit="1" customWidth="1"/>
    <col min="2" max="2" width="16.75" bestFit="1" customWidth="1"/>
    <col min="3" max="3" width="20.75" bestFit="1" customWidth="1"/>
    <col min="4" max="4" width="22.75" bestFit="1" customWidth="1"/>
    <col min="5" max="5" width="17.375" customWidth="1"/>
    <col min="6" max="6" width="15" bestFit="1" customWidth="1"/>
    <col min="7" max="7" width="16.375" customWidth="1"/>
    <col min="8" max="8" width="17.125" customWidth="1"/>
    <col min="9" max="9" width="17.625" bestFit="1" customWidth="1"/>
    <col min="10" max="10" width="25.75" bestFit="1" customWidth="1"/>
    <col min="11" max="11" width="18.5" customWidth="1"/>
    <col min="12" max="12" width="22.375" bestFit="1" customWidth="1"/>
    <col min="13" max="13" width="17.25" bestFit="1" customWidth="1"/>
    <col min="14" max="14" width="14" customWidth="1"/>
    <col min="15" max="15" width="15.75" bestFit="1" customWidth="1"/>
    <col min="16" max="16" width="12.25" customWidth="1"/>
    <col min="17" max="17" width="15.75" customWidth="1"/>
    <col min="18" max="18" width="14.375" customWidth="1"/>
    <col min="19" max="19" width="13.125" customWidth="1"/>
    <col min="20" max="20" width="12.875" bestFit="1" customWidth="1"/>
    <col min="21" max="21" width="14" customWidth="1"/>
    <col min="22" max="22" width="13.125" customWidth="1"/>
    <col min="23" max="27" width="12.875" bestFit="1" customWidth="1"/>
  </cols>
  <sheetData>
    <row r="1" spans="1:19">
      <c r="E1" s="100" t="s">
        <v>0</v>
      </c>
      <c r="F1" s="100"/>
      <c r="G1" s="100"/>
      <c r="H1" s="100" t="s">
        <v>1</v>
      </c>
      <c r="I1" s="100"/>
      <c r="J1" s="100"/>
    </row>
    <row r="2" spans="1:19">
      <c r="B2" t="s">
        <v>2</v>
      </c>
      <c r="C2" t="s">
        <v>3</v>
      </c>
      <c r="D2" t="s">
        <v>4</v>
      </c>
      <c r="E2" s="3" t="s">
        <v>5</v>
      </c>
      <c r="F2" s="3" t="s">
        <v>6</v>
      </c>
      <c r="G2" s="3" t="s">
        <v>7</v>
      </c>
      <c r="H2" t="s">
        <v>5</v>
      </c>
      <c r="I2" t="s">
        <v>8</v>
      </c>
      <c r="J2" t="s">
        <v>7</v>
      </c>
    </row>
    <row r="3" spans="1:19">
      <c r="B3" t="s">
        <v>9</v>
      </c>
      <c r="C3">
        <v>204.1</v>
      </c>
      <c r="D3" s="1">
        <f>C3/30</f>
        <v>6.8033333333333328</v>
      </c>
      <c r="E3">
        <v>45</v>
      </c>
      <c r="F3">
        <v>48</v>
      </c>
      <c r="G3">
        <v>39</v>
      </c>
      <c r="H3" s="1">
        <f>($E3*$C$39)/45</f>
        <v>168</v>
      </c>
      <c r="I3" s="1">
        <f>($F3*$C$40)/45</f>
        <v>162.13333333333333</v>
      </c>
      <c r="J3" s="1">
        <f>($G3*$C$41)/45</f>
        <v>39.866666666666667</v>
      </c>
    </row>
    <row r="4" spans="1:19" ht="15" thickBot="1">
      <c r="B4" t="s">
        <v>10</v>
      </c>
      <c r="C4">
        <v>308.3</v>
      </c>
      <c r="D4" s="1">
        <f t="shared" ref="D4:D8" si="0">C4/30</f>
        <v>10.276666666666667</v>
      </c>
      <c r="E4">
        <v>48</v>
      </c>
      <c r="F4">
        <v>62</v>
      </c>
      <c r="G4">
        <v>51</v>
      </c>
      <c r="H4" s="1">
        <f t="shared" ref="H4:H8" si="1">($E4*$C$39)/45</f>
        <v>179.2</v>
      </c>
      <c r="I4" s="1">
        <f t="shared" ref="I4:I8" si="2">($F4*$C$40)/45</f>
        <v>209.42222222222222</v>
      </c>
      <c r="J4" s="1">
        <f t="shared" ref="J4:J8" si="3">($G4*$C$41)/45</f>
        <v>52.133333333333333</v>
      </c>
    </row>
    <row r="5" spans="1:19" ht="15">
      <c r="B5" t="s">
        <v>11</v>
      </c>
      <c r="C5">
        <v>90.9</v>
      </c>
      <c r="D5" s="1">
        <f t="shared" si="0"/>
        <v>3.0300000000000002</v>
      </c>
      <c r="E5">
        <v>48</v>
      </c>
      <c r="F5">
        <v>39</v>
      </c>
      <c r="G5">
        <v>57</v>
      </c>
      <c r="H5" s="1">
        <f t="shared" si="1"/>
        <v>179.2</v>
      </c>
      <c r="I5" s="1">
        <f t="shared" si="2"/>
        <v>131.73333333333332</v>
      </c>
      <c r="J5" s="1">
        <f t="shared" si="3"/>
        <v>58.266666666666666</v>
      </c>
      <c r="R5" s="14" t="s">
        <v>12</v>
      </c>
      <c r="S5" s="15" t="s">
        <v>13</v>
      </c>
    </row>
    <row r="6" spans="1:19" ht="15">
      <c r="B6" t="s">
        <v>14</v>
      </c>
      <c r="C6">
        <v>279.7</v>
      </c>
      <c r="D6" s="1">
        <f t="shared" si="0"/>
        <v>9.3233333333333324</v>
      </c>
      <c r="E6">
        <v>22</v>
      </c>
      <c r="F6">
        <v>27</v>
      </c>
      <c r="G6">
        <v>39</v>
      </c>
      <c r="H6" s="1">
        <f t="shared" si="1"/>
        <v>82.13333333333334</v>
      </c>
      <c r="I6" s="1">
        <f t="shared" si="2"/>
        <v>91.2</v>
      </c>
      <c r="J6" s="1">
        <f t="shared" si="3"/>
        <v>39.866666666666667</v>
      </c>
      <c r="N6" s="101" t="s">
        <v>15</v>
      </c>
      <c r="O6" s="101"/>
      <c r="P6" s="101"/>
      <c r="R6" s="16" t="str">
        <f>"Recommended Hires for "  &amp; $L$14 &amp; " projects in " &amp;M14&amp;":"</f>
        <v>Recommended Hires for Standard projects in March:</v>
      </c>
      <c r="S6" s="18">
        <f>_xlfn.XLOOKUP($L$14,N7:P7,N8:P8,"",0,1)</f>
        <v>139</v>
      </c>
    </row>
    <row r="7" spans="1:19" ht="15">
      <c r="B7" t="s">
        <v>16</v>
      </c>
      <c r="C7">
        <v>70</v>
      </c>
      <c r="D7" s="1">
        <f t="shared" si="0"/>
        <v>2.3333333333333335</v>
      </c>
      <c r="E7">
        <v>25</v>
      </c>
      <c r="F7">
        <v>24</v>
      </c>
      <c r="G7">
        <v>18</v>
      </c>
      <c r="H7" s="1">
        <f t="shared" si="1"/>
        <v>93.333333333333329</v>
      </c>
      <c r="I7" s="1">
        <f t="shared" si="2"/>
        <v>81.066666666666663</v>
      </c>
      <c r="J7" s="1">
        <f t="shared" si="3"/>
        <v>18.399999999999999</v>
      </c>
      <c r="N7" s="12" t="s">
        <v>5</v>
      </c>
      <c r="O7" s="12" t="s">
        <v>6</v>
      </c>
      <c r="P7" s="12" t="s">
        <v>7</v>
      </c>
      <c r="R7" s="16" t="str">
        <f>"Recommended Hires for " &amp;$L$14&amp;" " &amp;$K$14 &amp; " projects:"</f>
        <v>Recommended Hires for Standard Hurricane projects:</v>
      </c>
      <c r="S7" s="18">
        <f>_xlfn.XLOOKUP($L$14,N10:P10,N11:P11,"",0,1)</f>
        <v>179</v>
      </c>
    </row>
    <row r="8" spans="1:19" ht="15">
      <c r="B8" t="s">
        <v>17</v>
      </c>
      <c r="C8">
        <v>116.08</v>
      </c>
      <c r="D8" s="1">
        <f t="shared" si="0"/>
        <v>3.8693333333333331</v>
      </c>
      <c r="E8">
        <v>8</v>
      </c>
      <c r="F8">
        <v>8</v>
      </c>
      <c r="G8">
        <v>8</v>
      </c>
      <c r="H8" s="1">
        <f t="shared" si="1"/>
        <v>29.866666666666667</v>
      </c>
      <c r="I8" s="1">
        <f t="shared" si="2"/>
        <v>27.022222222222222</v>
      </c>
      <c r="J8" s="1">
        <f t="shared" si="3"/>
        <v>8.1777777777777771</v>
      </c>
      <c r="N8" s="7">
        <f>ROUND(_xlfn.XLOOKUP($M$14,$B$13:$B$24,C$13:C$24,"",0,1),0)</f>
        <v>139</v>
      </c>
      <c r="O8" s="7">
        <f t="shared" ref="O8:P8" si="4">ROUND(_xlfn.XLOOKUP($M$14,$B$13:$B$24,D$13:D$24,"",0,1),0)</f>
        <v>85</v>
      </c>
      <c r="P8" s="7">
        <f t="shared" si="4"/>
        <v>50</v>
      </c>
      <c r="R8" s="16" t="str">
        <f>"Recommended additional hires for " &amp;$L$14&amp;" " &amp;$K$14 &amp; " projects in " &amp; $M$14 &amp; ":"</f>
        <v>Recommended additional hires for Standard Hurricane projects in March:</v>
      </c>
      <c r="S8" s="18">
        <f>_xlfn.XLOOKUP($L$14,N13:P13,N14:P14,"",0,1)</f>
        <v>40</v>
      </c>
    </row>
    <row r="9" spans="1:19" ht="15">
      <c r="B9" t="s">
        <v>18</v>
      </c>
      <c r="N9" s="101" t="s">
        <v>19</v>
      </c>
      <c r="O9" s="101"/>
      <c r="P9" s="101"/>
      <c r="R9" s="16" t="str">
        <f>"Recommended FTE hires for " &amp;$L$14&amp;" " &amp;$K$14 &amp; " projects in " &amp; $M$14 &amp; ":"</f>
        <v>Recommended FTE hires for Standard Hurricane projects in March:</v>
      </c>
      <c r="S9" s="18">
        <f>_xlfn.XLOOKUP($L$14,N13:P13,N16:P16,"",0,1)</f>
        <v>22</v>
      </c>
    </row>
    <row r="10" spans="1:19" ht="15">
      <c r="N10" s="12" t="s">
        <v>5</v>
      </c>
      <c r="O10" s="12" t="s">
        <v>6</v>
      </c>
      <c r="P10" s="12" t="s">
        <v>7</v>
      </c>
      <c r="R10" s="16" t="str">
        <f>"Recommended TAC hires for " &amp;$L$14&amp;" " &amp;$K$14 &amp; " projects in " &amp; $M$14 &amp; ":"</f>
        <v>Recommended TAC hires for Standard Hurricane projects in March:</v>
      </c>
      <c r="S10" s="18">
        <f>_xlfn.XLOOKUP($L$14,N13:P13,N17:P17,"",0,1)</f>
        <v>14</v>
      </c>
    </row>
    <row r="11" spans="1:19" ht="15.75" thickBot="1">
      <c r="C11" s="100" t="s">
        <v>20</v>
      </c>
      <c r="D11" s="100"/>
      <c r="E11" s="100"/>
      <c r="F11" s="3"/>
      <c r="G11" s="3"/>
      <c r="N11" s="7">
        <f>ROUND(_xlfn.XLOOKUP($K$14,$B$3:$B$8,H$3:H$8,"",0,1),0)</f>
        <v>179</v>
      </c>
      <c r="O11" s="7">
        <f t="shared" ref="O11:P11" si="5">ROUND(_xlfn.XLOOKUP($K$14,$B$3:$B$8,I$3:I$8,"",0,1),0)</f>
        <v>132</v>
      </c>
      <c r="P11" s="7">
        <f t="shared" si="5"/>
        <v>58</v>
      </c>
      <c r="R11" s="17" t="str">
        <f>"Recommended local hires for " &amp;$L$14&amp;" " &amp;$K$14 &amp; " projects in " &amp; $M$14 &amp; ":"</f>
        <v>Recommended local hires for Standard Hurricane projects in March:</v>
      </c>
      <c r="S11" s="19">
        <f>_xlfn.XLOOKUP($L$14,N13:P13,N18:P18,"",0,1)</f>
        <v>4</v>
      </c>
    </row>
    <row r="12" spans="1:19" ht="15.75" thickBot="1">
      <c r="B12" t="s">
        <v>21</v>
      </c>
      <c r="C12" s="3" t="s">
        <v>5</v>
      </c>
      <c r="D12" s="3" t="s">
        <v>6</v>
      </c>
      <c r="E12" s="3" t="s">
        <v>7</v>
      </c>
      <c r="F12" s="3" t="s">
        <v>22</v>
      </c>
      <c r="G12" s="3" t="s">
        <v>23</v>
      </c>
      <c r="J12" s="97" t="s">
        <v>24</v>
      </c>
      <c r="K12" s="98"/>
      <c r="L12" s="99"/>
      <c r="M12" s="2"/>
      <c r="N12" s="101" t="s">
        <v>25</v>
      </c>
      <c r="O12" s="101"/>
      <c r="P12" s="101"/>
    </row>
    <row r="13" spans="1:19" ht="15">
      <c r="A13">
        <v>1</v>
      </c>
      <c r="B13" t="s">
        <v>26</v>
      </c>
      <c r="C13" s="1">
        <v>145.08148148148149</v>
      </c>
      <c r="D13" s="1">
        <v>103.3</v>
      </c>
      <c r="E13" s="1">
        <v>43.155555555555559</v>
      </c>
      <c r="F13" s="1">
        <f>SUM(C13:E13)</f>
        <v>291.53703703703707</v>
      </c>
      <c r="G13" s="4">
        <f>($F13/$C$42)</f>
        <v>0.79654928152195925</v>
      </c>
      <c r="J13" s="8" t="s">
        <v>27</v>
      </c>
      <c r="K13" s="9" t="s">
        <v>28</v>
      </c>
      <c r="L13" s="10" t="s">
        <v>29</v>
      </c>
      <c r="M13" s="11" t="s">
        <v>30</v>
      </c>
      <c r="N13" s="12" t="s">
        <v>31</v>
      </c>
      <c r="O13" s="12" t="s">
        <v>6</v>
      </c>
      <c r="P13" s="12" t="s">
        <v>7</v>
      </c>
    </row>
    <row r="14" spans="1:19" ht="15" thickBot="1">
      <c r="A14">
        <v>2</v>
      </c>
      <c r="B14" t="s">
        <v>32</v>
      </c>
      <c r="C14" s="1">
        <v>138.4</v>
      </c>
      <c r="D14" s="1">
        <v>96.9</v>
      </c>
      <c r="E14" s="1">
        <v>55.288888888888891</v>
      </c>
      <c r="F14" s="1">
        <f t="shared" ref="F14:F24" si="6">SUM(C14:E14)</f>
        <v>290.5888888888889</v>
      </c>
      <c r="G14" s="4">
        <f t="shared" ref="G14:G24" si="7">($F14/$C$42)</f>
        <v>0.79395871281117192</v>
      </c>
      <c r="J14" s="30" t="s">
        <v>33</v>
      </c>
      <c r="K14" s="5" t="s">
        <v>11</v>
      </c>
      <c r="L14" s="6" t="s">
        <v>5</v>
      </c>
      <c r="M14" s="13" t="str">
        <f>_xlfn.XLOOKUP(ROUND(_xlfn.XLOOKUP(J14,B13:B24,A13:A24,"",0,1)+_xlfn.XLOOKUP(K14,B3:B8,D3:D8,"",0,1),0),A13:A36,B13:B36,"",0,1)</f>
        <v>March</v>
      </c>
      <c r="N14" s="7">
        <f>ROUND(_xlfn.XLOOKUP($K$14,$B$3:$B$8,H$3:H$8,"",0,1)-_xlfn.XLOOKUP($M$14,$B$13:$B$24,C$13:C$24,"",0,1),0)</f>
        <v>40</v>
      </c>
      <c r="O14" s="7">
        <f t="shared" ref="O14:P14" si="8">ROUND(_xlfn.XLOOKUP($K$14,$B$3:$B$8,I$3:I$8,"",0,1)-_xlfn.XLOOKUP($M$14,$B$13:$B$24,D$13:D$24,"",0,1),0)</f>
        <v>47</v>
      </c>
      <c r="P14" s="7">
        <f t="shared" si="8"/>
        <v>8</v>
      </c>
    </row>
    <row r="15" spans="1:19" ht="15">
      <c r="A15">
        <v>3</v>
      </c>
      <c r="B15" t="s">
        <v>34</v>
      </c>
      <c r="C15" s="1">
        <v>138.80000000000001</v>
      </c>
      <c r="D15" s="1">
        <v>84.7</v>
      </c>
      <c r="E15" s="1">
        <v>50.411111111111111</v>
      </c>
      <c r="F15" s="1">
        <f t="shared" si="6"/>
        <v>273.9111111111111</v>
      </c>
      <c r="G15" s="4">
        <f t="shared" si="7"/>
        <v>0.74839101396478447</v>
      </c>
      <c r="N15" s="96" t="s">
        <v>35</v>
      </c>
      <c r="O15" s="96"/>
      <c r="P15" s="96"/>
    </row>
    <row r="16" spans="1:19" ht="15">
      <c r="A16">
        <v>4</v>
      </c>
      <c r="B16" t="s">
        <v>36</v>
      </c>
      <c r="C16" s="1">
        <v>134.5</v>
      </c>
      <c r="D16" s="1">
        <v>74.8</v>
      </c>
      <c r="E16" s="1">
        <v>71.288888888888891</v>
      </c>
      <c r="F16" s="1">
        <f t="shared" si="6"/>
        <v>280.5888888888889</v>
      </c>
      <c r="G16" s="4">
        <f t="shared" si="7"/>
        <v>0.76663630843958719</v>
      </c>
      <c r="M16" s="12" t="s">
        <v>37</v>
      </c>
      <c r="N16" s="7">
        <f>ROUND(D$39*$N$14,0)</f>
        <v>22</v>
      </c>
      <c r="O16" s="7">
        <f>ROUND(D$40*$O$14,0)</f>
        <v>25</v>
      </c>
      <c r="P16" s="7">
        <f>ROUND(D$41*$P$14,0)</f>
        <v>5</v>
      </c>
    </row>
    <row r="17" spans="1:16" ht="15">
      <c r="A17">
        <v>5</v>
      </c>
      <c r="B17" t="s">
        <v>38</v>
      </c>
      <c r="C17" s="1">
        <v>126.7</v>
      </c>
      <c r="D17" s="1">
        <v>74.900000000000006</v>
      </c>
      <c r="E17" s="1">
        <v>57.655555555555559</v>
      </c>
      <c r="F17" s="1">
        <f t="shared" si="6"/>
        <v>259.25555555555559</v>
      </c>
      <c r="G17" s="4">
        <f t="shared" si="7"/>
        <v>0.70834851244687325</v>
      </c>
      <c r="M17" s="12" t="s">
        <v>39</v>
      </c>
      <c r="N17" s="7">
        <f>ROUND(E$39*$N$14,0)</f>
        <v>14</v>
      </c>
      <c r="O17" s="7">
        <f>ROUND(E$40*$O$14,0)</f>
        <v>20</v>
      </c>
      <c r="P17" s="7">
        <f>ROUND(E$41*$P$14,0)</f>
        <v>3</v>
      </c>
    </row>
    <row r="18" spans="1:16" ht="15">
      <c r="A18">
        <v>6</v>
      </c>
      <c r="B18" t="s">
        <v>40</v>
      </c>
      <c r="C18" s="1">
        <v>116.1</v>
      </c>
      <c r="D18" s="1">
        <v>66.7</v>
      </c>
      <c r="E18" s="1">
        <v>52.166666666666664</v>
      </c>
      <c r="F18" s="1">
        <f t="shared" si="6"/>
        <v>234.96666666666667</v>
      </c>
      <c r="G18" s="4">
        <f t="shared" si="7"/>
        <v>0.64198542805100178</v>
      </c>
      <c r="M18" s="12" t="s">
        <v>41</v>
      </c>
      <c r="N18" s="7">
        <f>ROUND(F$39*$N$14,0)</f>
        <v>4</v>
      </c>
      <c r="O18" s="7">
        <f>ROUND(F$40*$O$14,0)</f>
        <v>2</v>
      </c>
      <c r="P18" s="7">
        <f>ROUND(F$41*$P$14,0)</f>
        <v>0</v>
      </c>
    </row>
    <row r="19" spans="1:16">
      <c r="A19">
        <v>7</v>
      </c>
      <c r="B19" t="s">
        <v>42</v>
      </c>
      <c r="C19" s="1">
        <v>101</v>
      </c>
      <c r="D19" s="1">
        <v>69.111111111111114</v>
      </c>
      <c r="E19" s="1">
        <v>37.833333333333336</v>
      </c>
      <c r="F19" s="1">
        <f t="shared" si="6"/>
        <v>207.94444444444446</v>
      </c>
      <c r="G19" s="4">
        <f t="shared" si="7"/>
        <v>0.56815421979356406</v>
      </c>
    </row>
    <row r="20" spans="1:16">
      <c r="A20">
        <v>8</v>
      </c>
      <c r="B20" t="s">
        <v>43</v>
      </c>
      <c r="C20" s="1">
        <v>99.9</v>
      </c>
      <c r="D20" s="1">
        <v>78.333333333333343</v>
      </c>
      <c r="E20" s="1">
        <v>45</v>
      </c>
      <c r="F20" s="1">
        <f t="shared" si="6"/>
        <v>223.23333333333335</v>
      </c>
      <c r="G20" s="4">
        <f t="shared" si="7"/>
        <v>0.60992714025500916</v>
      </c>
    </row>
    <row r="21" spans="1:16">
      <c r="A21">
        <v>9</v>
      </c>
      <c r="B21" t="s">
        <v>44</v>
      </c>
      <c r="C21" s="1">
        <v>100</v>
      </c>
      <c r="D21" s="1">
        <v>91.611111111111114</v>
      </c>
      <c r="E21" s="1">
        <v>34.87777777777778</v>
      </c>
      <c r="F21" s="1">
        <f t="shared" si="6"/>
        <v>226.48888888888888</v>
      </c>
      <c r="G21" s="4">
        <f t="shared" si="7"/>
        <v>0.61882210078931388</v>
      </c>
    </row>
    <row r="22" spans="1:16">
      <c r="A22">
        <v>10</v>
      </c>
      <c r="B22" t="s">
        <v>45</v>
      </c>
      <c r="C22" s="1">
        <v>97.2</v>
      </c>
      <c r="D22" s="1">
        <v>80</v>
      </c>
      <c r="E22" s="1">
        <v>26.444444444444443</v>
      </c>
      <c r="F22" s="1">
        <f t="shared" si="6"/>
        <v>203.64444444444445</v>
      </c>
      <c r="G22" s="4">
        <f t="shared" si="7"/>
        <v>0.55640558591378264</v>
      </c>
    </row>
    <row r="23" spans="1:16">
      <c r="A23">
        <v>11</v>
      </c>
      <c r="B23" t="s">
        <v>46</v>
      </c>
      <c r="C23" s="1">
        <v>101.3</v>
      </c>
      <c r="D23" s="1">
        <v>75.166666666666657</v>
      </c>
      <c r="E23" s="1">
        <v>29.144444444444446</v>
      </c>
      <c r="F23" s="1">
        <f t="shared" si="6"/>
        <v>205.61111111111109</v>
      </c>
      <c r="G23" s="4">
        <f t="shared" si="7"/>
        <v>0.56177899210686089</v>
      </c>
    </row>
    <row r="24" spans="1:16">
      <c r="A24">
        <v>12</v>
      </c>
      <c r="B24" t="s">
        <v>33</v>
      </c>
      <c r="C24" s="1">
        <v>96.9</v>
      </c>
      <c r="D24" s="1">
        <v>66</v>
      </c>
      <c r="E24" s="1">
        <v>26.022222222222222</v>
      </c>
      <c r="F24" s="1">
        <f t="shared" si="6"/>
        <v>188.92222222222222</v>
      </c>
      <c r="G24" s="4">
        <f t="shared" si="7"/>
        <v>0.51618093503339402</v>
      </c>
    </row>
    <row r="25" spans="1:16">
      <c r="A25">
        <v>13</v>
      </c>
      <c r="B25" t="s">
        <v>26</v>
      </c>
      <c r="C25" s="1"/>
      <c r="D25" s="1"/>
      <c r="E25" s="1"/>
      <c r="F25" s="1"/>
      <c r="G25" s="4"/>
    </row>
    <row r="26" spans="1:16">
      <c r="A26">
        <v>14</v>
      </c>
      <c r="B26" t="s">
        <v>32</v>
      </c>
      <c r="C26" s="1"/>
      <c r="D26" s="1"/>
      <c r="E26" s="1"/>
      <c r="F26" s="1"/>
      <c r="G26" s="4"/>
    </row>
    <row r="27" spans="1:16">
      <c r="A27">
        <v>15</v>
      </c>
      <c r="B27" t="s">
        <v>34</v>
      </c>
      <c r="C27" s="1"/>
      <c r="D27" s="1"/>
      <c r="E27" s="1"/>
      <c r="F27" s="1"/>
      <c r="G27" s="4"/>
    </row>
    <row r="28" spans="1:16">
      <c r="A28">
        <v>16</v>
      </c>
      <c r="B28" t="s">
        <v>36</v>
      </c>
      <c r="C28" s="1"/>
      <c r="D28" s="1"/>
      <c r="E28" s="1"/>
      <c r="F28" s="1"/>
      <c r="G28" s="4"/>
    </row>
    <row r="29" spans="1:16">
      <c r="A29">
        <v>17</v>
      </c>
      <c r="B29" t="s">
        <v>38</v>
      </c>
      <c r="C29" s="1"/>
      <c r="D29" s="1"/>
      <c r="E29" s="1"/>
      <c r="F29" s="1"/>
      <c r="G29" s="4"/>
      <c r="I29" s="31" t="s">
        <v>47</v>
      </c>
      <c r="J29" s="31" t="s">
        <v>48</v>
      </c>
      <c r="K29" s="31" t="s">
        <v>49</v>
      </c>
      <c r="L29" s="31" t="s">
        <v>50</v>
      </c>
      <c r="M29" s="31" t="s">
        <v>51</v>
      </c>
      <c r="N29" s="31" t="s">
        <v>52</v>
      </c>
    </row>
    <row r="30" spans="1:16">
      <c r="A30">
        <v>18</v>
      </c>
      <c r="B30" t="s">
        <v>40</v>
      </c>
      <c r="C30" s="1"/>
      <c r="D30" s="1"/>
      <c r="E30" s="1"/>
      <c r="F30" s="1"/>
      <c r="G30" s="4"/>
      <c r="I30" s="31" t="s">
        <v>53</v>
      </c>
      <c r="J30" s="42">
        <v>0.11799999999999999</v>
      </c>
      <c r="K30" s="40">
        <f>'Final tool (trial)'!F4</f>
        <v>3850000</v>
      </c>
      <c r="M30" s="39">
        <f>'Final tool (trial)'!C5</f>
        <v>8.5000000000000006E-2</v>
      </c>
      <c r="N30" s="39">
        <v>0.02</v>
      </c>
    </row>
    <row r="31" spans="1:16">
      <c r="A31">
        <v>19</v>
      </c>
      <c r="B31" t="s">
        <v>42</v>
      </c>
      <c r="C31" s="1"/>
      <c r="D31" s="1"/>
      <c r="E31" s="1"/>
      <c r="F31" s="1"/>
      <c r="G31" s="4"/>
      <c r="I31" s="31" t="s">
        <v>54</v>
      </c>
      <c r="J31" s="39">
        <v>0.13</v>
      </c>
    </row>
    <row r="32" spans="1:16">
      <c r="A32">
        <v>20</v>
      </c>
      <c r="B32" s="31" t="s">
        <v>55</v>
      </c>
      <c r="C32" s="1"/>
      <c r="D32" s="1"/>
      <c r="E32" s="1"/>
      <c r="F32" s="1"/>
      <c r="G32" s="4"/>
      <c r="I32" s="31" t="s">
        <v>56</v>
      </c>
      <c r="J32" s="39">
        <v>0.16</v>
      </c>
    </row>
    <row r="33" spans="1:14">
      <c r="A33">
        <v>21</v>
      </c>
      <c r="B33" t="s">
        <v>44</v>
      </c>
      <c r="C33" s="1"/>
      <c r="D33" s="1"/>
      <c r="E33" s="1"/>
      <c r="F33" s="1"/>
      <c r="G33" s="4"/>
      <c r="I33" s="31" t="s">
        <v>18</v>
      </c>
      <c r="J33" s="39">
        <v>0.1</v>
      </c>
    </row>
    <row r="34" spans="1:14">
      <c r="A34">
        <v>22</v>
      </c>
      <c r="B34" t="s">
        <v>45</v>
      </c>
      <c r="C34" s="1"/>
      <c r="D34" s="1"/>
      <c r="E34" s="1"/>
      <c r="F34" s="1"/>
      <c r="G34" s="4"/>
    </row>
    <row r="35" spans="1:14">
      <c r="A35">
        <v>23</v>
      </c>
      <c r="B35" t="s">
        <v>46</v>
      </c>
      <c r="C35" s="1"/>
      <c r="D35" s="1"/>
      <c r="E35" s="1"/>
      <c r="F35" s="1"/>
      <c r="G35" s="4"/>
    </row>
    <row r="36" spans="1:14" ht="15">
      <c r="A36">
        <v>24</v>
      </c>
      <c r="B36" t="s">
        <v>33</v>
      </c>
      <c r="C36" s="1"/>
      <c r="D36" s="1"/>
      <c r="E36" s="1"/>
      <c r="F36" s="1"/>
      <c r="G36" s="4"/>
      <c r="I36" s="94" t="s">
        <v>57</v>
      </c>
      <c r="J36" s="95"/>
      <c r="K36" s="95"/>
      <c r="L36" s="95"/>
      <c r="M36" s="95"/>
    </row>
    <row r="37" spans="1:14" ht="15">
      <c r="C37" s="1"/>
      <c r="I37" s="8" t="s">
        <v>27</v>
      </c>
      <c r="J37" s="9" t="s">
        <v>58</v>
      </c>
      <c r="K37" s="10" t="s">
        <v>59</v>
      </c>
      <c r="L37" s="35" t="s">
        <v>60</v>
      </c>
      <c r="M37" s="34" t="s">
        <v>61</v>
      </c>
    </row>
    <row r="38" spans="1:14" ht="15" thickBot="1">
      <c r="B38" t="s">
        <v>62</v>
      </c>
      <c r="C38" t="s">
        <v>63</v>
      </c>
      <c r="D38" t="s">
        <v>64</v>
      </c>
      <c r="E38" t="s">
        <v>65</v>
      </c>
      <c r="F38" t="s">
        <v>66</v>
      </c>
      <c r="I38" s="30" t="str">
        <f>'Final tool (trial)'!A55</f>
        <v>Biotech Industry</v>
      </c>
      <c r="J38" s="33">
        <f>'Final tool (trial)'!C4</f>
        <v>5</v>
      </c>
      <c r="K38" s="46">
        <f>'Final tool (trial)'!C3</f>
        <v>1000000</v>
      </c>
      <c r="L38" s="47">
        <v>10</v>
      </c>
      <c r="M38" s="32">
        <f>NPV($M$30,C50:L50)+B50</f>
        <v>1029815.1883691032</v>
      </c>
    </row>
    <row r="39" spans="1:14">
      <c r="B39" t="s">
        <v>5</v>
      </c>
      <c r="C39">
        <v>168</v>
      </c>
      <c r="D39">
        <v>0.56000000000000005</v>
      </c>
      <c r="E39">
        <v>0.35</v>
      </c>
      <c r="F39">
        <v>0.09</v>
      </c>
    </row>
    <row r="40" spans="1:14">
      <c r="B40" t="s">
        <v>6</v>
      </c>
      <c r="C40">
        <v>152</v>
      </c>
      <c r="D40">
        <v>0.53</v>
      </c>
      <c r="E40">
        <v>0.42</v>
      </c>
      <c r="F40">
        <v>0.05</v>
      </c>
    </row>
    <row r="41" spans="1:14" ht="15">
      <c r="B41" t="s">
        <v>7</v>
      </c>
      <c r="C41">
        <v>46</v>
      </c>
      <c r="D41">
        <v>0.63</v>
      </c>
      <c r="E41">
        <v>0.32</v>
      </c>
      <c r="F41">
        <v>0.05</v>
      </c>
      <c r="I41" s="94" t="s">
        <v>67</v>
      </c>
      <c r="J41" s="95"/>
      <c r="K41" s="95"/>
      <c r="L41" s="95"/>
      <c r="M41" s="95"/>
      <c r="N41" s="95"/>
    </row>
    <row r="42" spans="1:14" ht="15">
      <c r="B42" t="s">
        <v>68</v>
      </c>
      <c r="C42">
        <f>SUM(C39:C41)</f>
        <v>366</v>
      </c>
      <c r="I42" s="48" t="s">
        <v>27</v>
      </c>
      <c r="J42" s="49" t="s">
        <v>69</v>
      </c>
      <c r="K42" s="49" t="s">
        <v>70</v>
      </c>
      <c r="L42" s="35" t="s">
        <v>71</v>
      </c>
      <c r="M42" s="35" t="s">
        <v>72</v>
      </c>
      <c r="N42" s="35" t="s">
        <v>61</v>
      </c>
    </row>
    <row r="43" spans="1:14" ht="15" thickBot="1">
      <c r="I43" s="30" t="str">
        <f>I38</f>
        <v>Biotech Industry</v>
      </c>
      <c r="J43" s="33">
        <f>'Final tool (trial)'!B60</f>
        <v>6</v>
      </c>
      <c r="K43" s="36">
        <f>(J43-J38)/J38</f>
        <v>0.2</v>
      </c>
      <c r="L43" s="46">
        <f>'Final tool (trial)'!D60</f>
        <v>1300000</v>
      </c>
      <c r="M43" s="50">
        <f>(L43-K38)/K38</f>
        <v>0.3</v>
      </c>
      <c r="N43" s="46">
        <f>NPV($M$30,C56:N56)+B56</f>
        <v>33894.379434796108</v>
      </c>
    </row>
    <row r="45" spans="1:14">
      <c r="I45" s="31"/>
      <c r="J45" s="31"/>
    </row>
    <row r="46" spans="1:14">
      <c r="I46" s="39"/>
    </row>
    <row r="47" spans="1:14" ht="15">
      <c r="A47" s="31" t="s">
        <v>73</v>
      </c>
      <c r="B47" s="41">
        <v>0</v>
      </c>
      <c r="C47" s="41">
        <v>1</v>
      </c>
      <c r="D47" s="41">
        <v>2</v>
      </c>
      <c r="E47" s="41">
        <v>3</v>
      </c>
      <c r="F47" s="41">
        <v>4</v>
      </c>
      <c r="G47" s="41">
        <v>5</v>
      </c>
      <c r="H47" s="41">
        <v>6</v>
      </c>
      <c r="I47" s="41">
        <v>7</v>
      </c>
      <c r="J47" s="41">
        <v>8</v>
      </c>
      <c r="K47" s="41">
        <v>9</v>
      </c>
      <c r="L47" s="41">
        <v>10</v>
      </c>
      <c r="M47" s="41">
        <v>11</v>
      </c>
      <c r="N47" s="41">
        <v>12</v>
      </c>
    </row>
    <row r="48" spans="1:14">
      <c r="A48" s="31" t="s">
        <v>74</v>
      </c>
      <c r="B48" s="40">
        <f>IF(B47&lt;($J$38+1),-$K$38/$J$38,0)</f>
        <v>-200000</v>
      </c>
      <c r="C48" s="40">
        <f t="shared" ref="C48:K48" si="9">IF(C47&lt;($J$38+1),-$K$38/$J$38,0)</f>
        <v>-200000</v>
      </c>
      <c r="D48" s="40">
        <f t="shared" si="9"/>
        <v>-200000</v>
      </c>
      <c r="E48" s="40">
        <f t="shared" si="9"/>
        <v>-200000</v>
      </c>
      <c r="F48" s="40">
        <f t="shared" si="9"/>
        <v>-200000</v>
      </c>
      <c r="G48" s="40">
        <f t="shared" si="9"/>
        <v>-200000</v>
      </c>
      <c r="H48" s="40">
        <f t="shared" si="9"/>
        <v>0</v>
      </c>
      <c r="I48" s="40">
        <f t="shared" si="9"/>
        <v>0</v>
      </c>
      <c r="J48" s="40">
        <f t="shared" si="9"/>
        <v>0</v>
      </c>
      <c r="K48" s="40">
        <f t="shared" si="9"/>
        <v>0</v>
      </c>
      <c r="L48" s="40">
        <f>IF(L47&lt;($J$38+1),-$K$38/$J$38,0)</f>
        <v>0</v>
      </c>
      <c r="M48" s="40">
        <f t="shared" ref="M48" si="10">IF(M47&lt;($J$38+1),-$K$38/$J$38,0)</f>
        <v>0</v>
      </c>
      <c r="N48" s="40">
        <f t="shared" ref="N48" si="11">IF(N47&lt;($J$38+1),-$K$38/$J$38,0)</f>
        <v>0</v>
      </c>
    </row>
    <row r="49" spans="1:27">
      <c r="A49" s="31" t="s">
        <v>75</v>
      </c>
      <c r="B49" s="40">
        <f>IF(B47&gt;$J$38,IF(B47&lt;=$J$38+5,$K$30/5,0),0)</f>
        <v>0</v>
      </c>
      <c r="C49" s="40">
        <f t="shared" ref="C49:N49" si="12">IF(C47&gt;$J$38,IF(C47&lt;=$J$38+5,$K$30/5,0),0)</f>
        <v>0</v>
      </c>
      <c r="D49" s="40">
        <f t="shared" si="12"/>
        <v>0</v>
      </c>
      <c r="E49" s="40">
        <f t="shared" si="12"/>
        <v>0</v>
      </c>
      <c r="F49" s="40">
        <f t="shared" si="12"/>
        <v>0</v>
      </c>
      <c r="G49" s="40">
        <f t="shared" si="12"/>
        <v>0</v>
      </c>
      <c r="H49" s="40">
        <f t="shared" si="12"/>
        <v>770000</v>
      </c>
      <c r="I49" s="40">
        <f t="shared" si="12"/>
        <v>770000</v>
      </c>
      <c r="J49" s="40">
        <f t="shared" si="12"/>
        <v>770000</v>
      </c>
      <c r="K49" s="40">
        <f t="shared" si="12"/>
        <v>770000</v>
      </c>
      <c r="L49" s="40">
        <f t="shared" si="12"/>
        <v>770000</v>
      </c>
      <c r="M49" s="40">
        <f t="shared" si="12"/>
        <v>0</v>
      </c>
      <c r="N49" s="40">
        <f t="shared" si="12"/>
        <v>0</v>
      </c>
    </row>
    <row r="50" spans="1:27">
      <c r="A50" s="31" t="s">
        <v>76</v>
      </c>
      <c r="B50" s="40">
        <f>SUM(B48:B49)</f>
        <v>-200000</v>
      </c>
      <c r="C50" s="40">
        <f t="shared" ref="C50:L50" si="13">SUM(C48:C49)</f>
        <v>-200000</v>
      </c>
      <c r="D50" s="40">
        <f t="shared" si="13"/>
        <v>-200000</v>
      </c>
      <c r="E50" s="40">
        <f t="shared" si="13"/>
        <v>-200000</v>
      </c>
      <c r="F50" s="40">
        <f t="shared" si="13"/>
        <v>-200000</v>
      </c>
      <c r="G50" s="40">
        <f t="shared" si="13"/>
        <v>-200000</v>
      </c>
      <c r="H50" s="40">
        <f t="shared" si="13"/>
        <v>770000</v>
      </c>
      <c r="I50" s="40">
        <f>SUM(I48:I49)</f>
        <v>770000</v>
      </c>
      <c r="J50" s="40">
        <f t="shared" si="13"/>
        <v>770000</v>
      </c>
      <c r="K50" s="40">
        <f t="shared" si="13"/>
        <v>770000</v>
      </c>
      <c r="L50" s="40">
        <f t="shared" si="13"/>
        <v>770000</v>
      </c>
      <c r="M50" s="40">
        <f t="shared" ref="M50" si="14">SUM(M48:M49)</f>
        <v>0</v>
      </c>
      <c r="N50" s="40">
        <f t="shared" ref="N50" si="15">SUM(N48:N49)</f>
        <v>0</v>
      </c>
    </row>
    <row r="51" spans="1:27">
      <c r="I51" s="39"/>
    </row>
    <row r="52" spans="1:27">
      <c r="I52" s="39"/>
    </row>
    <row r="53" spans="1:27" ht="15">
      <c r="A53" s="31" t="s">
        <v>77</v>
      </c>
      <c r="B53" s="41">
        <v>0</v>
      </c>
      <c r="C53" s="41">
        <v>1</v>
      </c>
      <c r="D53" s="41">
        <v>2</v>
      </c>
      <c r="E53" s="41">
        <v>3</v>
      </c>
      <c r="F53" s="41">
        <v>4</v>
      </c>
      <c r="G53" s="41">
        <v>5</v>
      </c>
      <c r="H53" s="41">
        <v>6</v>
      </c>
      <c r="I53" s="41">
        <v>7</v>
      </c>
      <c r="J53" s="41">
        <v>8</v>
      </c>
      <c r="K53" s="41">
        <v>9</v>
      </c>
      <c r="L53" s="41">
        <v>10</v>
      </c>
      <c r="M53" s="41">
        <v>11</v>
      </c>
      <c r="N53" s="41">
        <v>12</v>
      </c>
      <c r="O53" s="41"/>
      <c r="P53" s="41"/>
      <c r="Q53" s="41"/>
      <c r="R53" s="41"/>
      <c r="S53" s="41"/>
    </row>
    <row r="54" spans="1:27">
      <c r="A54" s="31" t="s">
        <v>74</v>
      </c>
      <c r="B54" s="40">
        <f>IF(B53&lt;($J$43+1),-$L$43/$J$43,0)</f>
        <v>-216666.66666666666</v>
      </c>
      <c r="C54" s="40">
        <f t="shared" ref="C54:N54" si="16">IF(C53&lt;($J$43+1),-$L$43/$J$43,0)</f>
        <v>-216666.66666666666</v>
      </c>
      <c r="D54" s="40">
        <f>IF(D53&lt;($J$43+1),-$L$43/$J$43,0)</f>
        <v>-216666.66666666666</v>
      </c>
      <c r="E54" s="40">
        <f t="shared" si="16"/>
        <v>-216666.66666666666</v>
      </c>
      <c r="F54" s="40">
        <f t="shared" si="16"/>
        <v>-216666.66666666666</v>
      </c>
      <c r="G54" s="40">
        <f t="shared" si="16"/>
        <v>-216666.66666666666</v>
      </c>
      <c r="H54" s="40">
        <f t="shared" si="16"/>
        <v>-216666.66666666666</v>
      </c>
      <c r="I54" s="40">
        <f t="shared" si="16"/>
        <v>0</v>
      </c>
      <c r="J54" s="40">
        <f t="shared" si="16"/>
        <v>0</v>
      </c>
      <c r="K54" s="40">
        <f t="shared" si="16"/>
        <v>0</v>
      </c>
      <c r="L54" s="40">
        <f t="shared" si="16"/>
        <v>0</v>
      </c>
      <c r="M54" s="40">
        <f t="shared" si="16"/>
        <v>0</v>
      </c>
      <c r="N54" s="40">
        <f t="shared" si="16"/>
        <v>0</v>
      </c>
      <c r="O54" s="40"/>
      <c r="P54" s="40"/>
      <c r="Q54" s="40"/>
      <c r="R54" s="40"/>
    </row>
    <row r="55" spans="1:27">
      <c r="A55" s="31" t="s">
        <v>75</v>
      </c>
      <c r="B55">
        <f>IF(($J$43-B53)&lt;0,IF(B53&lt;=$J$43+5,VLOOKUP((B53-$J$43),$A$61:$B$70,2,FALSE),0),0)</f>
        <v>0</v>
      </c>
      <c r="C55">
        <f t="shared" ref="C55:N55" si="17">IF(($J$43-C53)&lt;0,IF(C53&lt;=$J$43+5,VLOOKUP((C53-$J$43),$A$61:$B$70,2,FALSE),0),0)</f>
        <v>0</v>
      </c>
      <c r="D55">
        <f t="shared" si="17"/>
        <v>0</v>
      </c>
      <c r="E55">
        <f t="shared" si="17"/>
        <v>0</v>
      </c>
      <c r="F55">
        <f t="shared" si="17"/>
        <v>0</v>
      </c>
      <c r="G55">
        <f t="shared" si="17"/>
        <v>0</v>
      </c>
      <c r="H55">
        <f t="shared" si="17"/>
        <v>0</v>
      </c>
      <c r="I55">
        <f t="shared" si="17"/>
        <v>679140</v>
      </c>
      <c r="J55">
        <f t="shared" si="17"/>
        <v>588280</v>
      </c>
      <c r="K55">
        <f t="shared" si="17"/>
        <v>497420</v>
      </c>
      <c r="L55">
        <f>IF(($J$43-L53)&lt;0,IF(L53&lt;=$J$43+5,VLOOKUP((L53-$J$43),$A$61:$B$70,2,FALSE),0),0)</f>
        <v>406560</v>
      </c>
      <c r="M55">
        <f t="shared" si="17"/>
        <v>315700</v>
      </c>
      <c r="N55">
        <f t="shared" si="17"/>
        <v>0</v>
      </c>
      <c r="O55" s="40"/>
      <c r="P55" s="40"/>
      <c r="Q55" s="40"/>
      <c r="R55" s="40"/>
    </row>
    <row r="56" spans="1:27">
      <c r="A56" s="31" t="s">
        <v>76</v>
      </c>
      <c r="B56" s="40">
        <f>SUM(B54:B55)</f>
        <v>-216666.66666666666</v>
      </c>
      <c r="C56" s="40">
        <f t="shared" ref="C56" si="18">SUM(C54:C55)</f>
        <v>-216666.66666666666</v>
      </c>
      <c r="D56" s="40">
        <f t="shared" ref="D56" si="19">SUM(D54:D55)</f>
        <v>-216666.66666666666</v>
      </c>
      <c r="E56" s="40">
        <f t="shared" ref="E56" si="20">SUM(E54:E55)</f>
        <v>-216666.66666666666</v>
      </c>
      <c r="F56" s="40">
        <f t="shared" ref="F56" si="21">SUM(F54:F55)</f>
        <v>-216666.66666666666</v>
      </c>
      <c r="G56" s="40">
        <f t="shared" ref="G56" si="22">SUM(G54:G55)</f>
        <v>-216666.66666666666</v>
      </c>
      <c r="H56" s="40">
        <f t="shared" ref="H56" si="23">SUM(H54:H55)</f>
        <v>-216666.66666666666</v>
      </c>
      <c r="I56" s="40">
        <f>SUM(I54:I55)</f>
        <v>679140</v>
      </c>
      <c r="J56" s="40">
        <f t="shared" ref="J56" si="24">SUM(J54:J55)</f>
        <v>588280</v>
      </c>
      <c r="K56" s="40">
        <f t="shared" ref="K56:L56" si="25">SUM(K54:K55)</f>
        <v>497420</v>
      </c>
      <c r="L56" s="40">
        <f t="shared" si="25"/>
        <v>406560</v>
      </c>
      <c r="M56" s="40">
        <f t="shared" ref="M56" si="26">SUM(M54:M55)</f>
        <v>315700</v>
      </c>
      <c r="N56" s="40">
        <f t="shared" ref="N56" si="27">SUM(N54:N55)</f>
        <v>0</v>
      </c>
      <c r="O56" s="40"/>
      <c r="P56" s="40"/>
      <c r="Q56" s="40"/>
      <c r="R56" s="40"/>
    </row>
    <row r="58" spans="1:27">
      <c r="J58" s="40"/>
      <c r="K58" s="40"/>
      <c r="L58" s="40"/>
      <c r="M58" s="40"/>
      <c r="N58" s="40"/>
      <c r="O58" s="40"/>
      <c r="P58" s="40"/>
      <c r="Q58" s="40"/>
      <c r="R58" s="40"/>
    </row>
    <row r="60" spans="1:27" ht="15"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spans="1:27" ht="15">
      <c r="A61" s="43" t="s">
        <v>78</v>
      </c>
      <c r="B61" s="44" t="str">
        <f>I43</f>
        <v>Biotech Industry</v>
      </c>
      <c r="E61" s="31"/>
      <c r="F61" s="58"/>
    </row>
    <row r="62" spans="1:27" ht="15">
      <c r="A62">
        <v>1</v>
      </c>
      <c r="B62" s="40">
        <f>IF($B$61=$I$43,$K$30/5*(1-(A62*VLOOKUP($I$43,$I$29:$J$33,2,FALSE))),0)</f>
        <v>679140</v>
      </c>
      <c r="C62" s="40"/>
      <c r="E62" s="59"/>
      <c r="U62" s="63"/>
      <c r="V62" s="63"/>
      <c r="W62" s="63"/>
      <c r="X62" s="63"/>
      <c r="Y62" s="63"/>
      <c r="Z62" s="63"/>
      <c r="AA62" s="63"/>
    </row>
    <row r="63" spans="1:27" ht="15">
      <c r="A63">
        <v>2</v>
      </c>
      <c r="B63" s="40">
        <f t="shared" ref="B63:B70" si="28">IF($B$61=$I$43,$K$30/5*(1-(A63*VLOOKUP($I$43,$I$29:$J$33,2,FALSE))),0)</f>
        <v>588280</v>
      </c>
      <c r="C63" s="40"/>
      <c r="E63" s="59"/>
      <c r="U63" s="63"/>
      <c r="V63" s="63"/>
      <c r="W63" s="63"/>
      <c r="X63" s="63"/>
      <c r="Y63" s="63"/>
      <c r="Z63" s="63"/>
      <c r="AA63" s="63"/>
    </row>
    <row r="64" spans="1:27" ht="15">
      <c r="A64">
        <v>3</v>
      </c>
      <c r="B64" s="40">
        <f t="shared" si="28"/>
        <v>497420</v>
      </c>
      <c r="C64" s="40"/>
      <c r="E64" s="59"/>
      <c r="T64" s="63"/>
      <c r="U64" s="63"/>
      <c r="V64" s="63"/>
      <c r="W64" s="63"/>
      <c r="X64" s="63"/>
      <c r="Y64" s="63"/>
      <c r="Z64" s="63"/>
      <c r="AA64" s="63"/>
    </row>
    <row r="65" spans="1:27" ht="15">
      <c r="A65">
        <v>4</v>
      </c>
      <c r="B65" s="40">
        <f t="shared" si="28"/>
        <v>406560</v>
      </c>
      <c r="C65" s="40"/>
      <c r="E65" s="59"/>
      <c r="T65" s="63"/>
      <c r="U65" s="63"/>
      <c r="V65" s="63"/>
      <c r="W65" s="63"/>
      <c r="X65" s="63"/>
      <c r="Y65" s="63"/>
      <c r="Z65" s="63"/>
      <c r="AA65" s="63"/>
    </row>
    <row r="66" spans="1:27" ht="15">
      <c r="A66">
        <v>5</v>
      </c>
      <c r="B66" s="40">
        <f t="shared" si="28"/>
        <v>315700</v>
      </c>
      <c r="C66" s="40"/>
      <c r="E66" s="59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spans="1:27" ht="15">
      <c r="A67">
        <v>6</v>
      </c>
      <c r="B67" s="40">
        <f t="shared" si="28"/>
        <v>224840.00000000003</v>
      </c>
      <c r="C67" s="40"/>
      <c r="E67" s="59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spans="1:27" ht="15">
      <c r="A68">
        <v>7</v>
      </c>
      <c r="B68" s="40">
        <f t="shared" si="28"/>
        <v>133980.00000000003</v>
      </c>
      <c r="C68" s="40"/>
      <c r="E68" s="59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spans="1:27" ht="15">
      <c r="A69">
        <v>8</v>
      </c>
      <c r="B69" s="40">
        <f t="shared" si="28"/>
        <v>43120.000000000036</v>
      </c>
      <c r="C69" s="40"/>
      <c r="E69" s="59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spans="1:27" ht="15">
      <c r="A70">
        <v>9</v>
      </c>
      <c r="B70" s="40">
        <f t="shared" si="28"/>
        <v>-47739.999999999869</v>
      </c>
      <c r="C70" s="40"/>
      <c r="E70" s="59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spans="1:27" ht="15">
      <c r="E71" s="59"/>
      <c r="H71" s="57"/>
    </row>
    <row r="72" spans="1:27" ht="15">
      <c r="B72" s="31" t="s">
        <v>52</v>
      </c>
      <c r="E72" s="59"/>
      <c r="H72" s="57"/>
    </row>
    <row r="73" spans="1:27" ht="15">
      <c r="A73">
        <v>0</v>
      </c>
      <c r="B73" s="39">
        <v>5.0000000000000001E-3</v>
      </c>
      <c r="E73" s="59"/>
      <c r="H73" s="57"/>
    </row>
    <row r="74" spans="1:27" ht="15">
      <c r="A74">
        <v>1</v>
      </c>
      <c r="B74" s="39">
        <v>0.02</v>
      </c>
      <c r="E74" s="59"/>
      <c r="H74" s="57"/>
    </row>
    <row r="75" spans="1:27" ht="15">
      <c r="A75">
        <v>2</v>
      </c>
      <c r="B75" s="39">
        <v>0.03</v>
      </c>
      <c r="E75" s="59"/>
      <c r="H75" s="57"/>
    </row>
    <row r="76" spans="1:27" ht="15">
      <c r="A76">
        <v>3</v>
      </c>
      <c r="B76" s="39">
        <v>0.04</v>
      </c>
      <c r="E76" s="59"/>
      <c r="H76" s="57"/>
    </row>
    <row r="77" spans="1:27" ht="15">
      <c r="A77">
        <v>4</v>
      </c>
      <c r="B77" s="39">
        <v>0.02</v>
      </c>
      <c r="E77" s="59"/>
      <c r="H77" s="57"/>
    </row>
    <row r="78" spans="1:27" ht="15">
      <c r="A78">
        <v>5</v>
      </c>
      <c r="B78" s="39">
        <v>0.01</v>
      </c>
      <c r="E78" s="59"/>
      <c r="H78" s="57"/>
    </row>
    <row r="79" spans="1:27" ht="15">
      <c r="A79">
        <v>6</v>
      </c>
      <c r="B79" s="39">
        <v>0.02</v>
      </c>
      <c r="E79" s="59"/>
      <c r="H79" s="57"/>
    </row>
    <row r="80" spans="1:27" ht="15">
      <c r="A80">
        <v>7</v>
      </c>
      <c r="B80" s="39">
        <v>0.02</v>
      </c>
      <c r="E80" s="59"/>
      <c r="H80" s="57"/>
    </row>
    <row r="81" spans="1:27" ht="15">
      <c r="A81">
        <v>8</v>
      </c>
      <c r="B81" s="39">
        <v>0.01</v>
      </c>
      <c r="E81" s="59"/>
      <c r="H81" s="57"/>
    </row>
    <row r="82" spans="1:27" ht="15">
      <c r="A82">
        <v>9</v>
      </c>
      <c r="B82" s="39">
        <v>0.01</v>
      </c>
      <c r="E82" s="59"/>
      <c r="H82" s="57"/>
    </row>
    <row r="83" spans="1:27">
      <c r="A83">
        <v>10</v>
      </c>
      <c r="B83" s="39">
        <v>0.03</v>
      </c>
    </row>
    <row r="84" spans="1:27">
      <c r="A84">
        <v>11</v>
      </c>
      <c r="B84" s="39">
        <v>0.02</v>
      </c>
      <c r="E84" s="3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27">
      <c r="A85">
        <v>12</v>
      </c>
      <c r="B85" s="39">
        <v>0.01</v>
      </c>
      <c r="E85" s="31"/>
      <c r="G85" s="60"/>
      <c r="H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spans="1:27">
      <c r="E86" s="31"/>
      <c r="G86" s="62"/>
      <c r="H86" s="57"/>
    </row>
    <row r="87" spans="1:27">
      <c r="G87" s="61"/>
      <c r="H87" s="57"/>
    </row>
    <row r="88" spans="1:27">
      <c r="H88" s="57"/>
    </row>
    <row r="89" spans="1:27">
      <c r="A89" t="s">
        <v>79</v>
      </c>
      <c r="B89">
        <f>SUM('Final tool (trial)'!C3,'Final tool (trial)'!F2)</f>
        <v>1300000</v>
      </c>
      <c r="H89" s="57"/>
    </row>
    <row r="90" spans="1:27">
      <c r="A90" t="s">
        <v>75</v>
      </c>
      <c r="B90">
        <f>'Final tool (trial)'!F4</f>
        <v>3850000</v>
      </c>
      <c r="H90" s="57"/>
    </row>
    <row r="91" spans="1:27">
      <c r="H91" s="57"/>
    </row>
    <row r="92" spans="1:27">
      <c r="H92" s="57"/>
    </row>
    <row r="93" spans="1:27">
      <c r="H93" s="57"/>
    </row>
    <row r="94" spans="1:27" ht="15">
      <c r="E94" s="59"/>
      <c r="H94" s="57"/>
    </row>
    <row r="95" spans="1:27" ht="15">
      <c r="E95" s="59"/>
      <c r="H95" s="57"/>
    </row>
    <row r="96" spans="1:27" ht="15">
      <c r="E96" s="59"/>
      <c r="H96" s="57"/>
    </row>
    <row r="97" spans="5:8" ht="15">
      <c r="E97" s="59"/>
      <c r="H97" s="57"/>
    </row>
    <row r="98" spans="5:8" ht="15">
      <c r="E98" s="59"/>
      <c r="H98" s="57"/>
    </row>
    <row r="99" spans="5:8" ht="15">
      <c r="E99" s="59"/>
      <c r="H99" s="57"/>
    </row>
    <row r="100" spans="5:8" ht="15">
      <c r="E100" s="59"/>
      <c r="H100" s="57"/>
    </row>
    <row r="101" spans="5:8" ht="15">
      <c r="E101" s="59"/>
      <c r="H101" s="57"/>
    </row>
    <row r="102" spans="5:8" ht="15">
      <c r="E102" s="59"/>
      <c r="H102" s="57"/>
    </row>
    <row r="103" spans="5:8" ht="15">
      <c r="E103" s="59"/>
      <c r="H103" s="57"/>
    </row>
    <row r="104" spans="5:8" ht="15">
      <c r="E104" s="59"/>
      <c r="H104" s="57"/>
    </row>
    <row r="105" spans="5:8" ht="15">
      <c r="E105" s="59"/>
      <c r="H105" s="57"/>
    </row>
    <row r="106" spans="5:8" ht="15">
      <c r="E106" s="59"/>
      <c r="H106" s="57"/>
    </row>
  </sheetData>
  <dataConsolidate/>
  <mergeCells count="10">
    <mergeCell ref="H1:J1"/>
    <mergeCell ref="E1:G1"/>
    <mergeCell ref="N12:P12"/>
    <mergeCell ref="N6:P6"/>
    <mergeCell ref="N9:P9"/>
    <mergeCell ref="I41:N41"/>
    <mergeCell ref="I36:M36"/>
    <mergeCell ref="N15:P15"/>
    <mergeCell ref="J12:L12"/>
    <mergeCell ref="C11:E11"/>
  </mergeCells>
  <dataValidations count="6">
    <dataValidation type="list" allowBlank="1" showInputMessage="1" showErrorMessage="1" promptTitle="Select Month" prompt="Select month from drop down list. January to December listed in 3 letter format." sqref="J14" xr:uid="{C9E26FB5-26E4-4614-BAF5-8129D79FDC1B}">
      <formula1>$I$30:$I$33</formula1>
    </dataValidation>
    <dataValidation type="list" allowBlank="1" showInputMessage="1" showErrorMessage="1" promptTitle="Select Incident Category" prompt="Select Incident Category from drop down list. In N/A, see supervisor." sqref="K14" xr:uid="{A127B152-F842-4DF7-B733-8BC497FCCA7C}">
      <formula1>$B$3:$B$8</formula1>
    </dataValidation>
    <dataValidation type="list" allowBlank="1" showInputMessage="1" showErrorMessage="1" promptTitle="Select Work Type" prompt="Select work type from drop down list." sqref="L14" xr:uid="{62EA8312-8E4D-4244-A36A-5A017BCCE01F}">
      <formula1>$B$39:$B$41</formula1>
    </dataValidation>
    <dataValidation allowBlank="1" showInputMessage="1" showErrorMessage="1" promptTitle="Select Incident Category" prompt="Select Incident Category from drop down list. In N/A, see supervisor." sqref="J38 J43:K43" xr:uid="{59FF2988-1E3D-4ACC-8773-8528B862AFEC}"/>
    <dataValidation allowBlank="1" showInputMessage="1" showErrorMessage="1" promptTitle="Select Work Type" prompt="Select work type from drop down list." sqref="L43:N43 K38:M38" xr:uid="{6BA3BB79-0280-4AF1-858E-543CABE3AD27}"/>
    <dataValidation allowBlank="1" showInputMessage="1" showErrorMessage="1" promptTitle="Select Month" prompt="Select month from drop down list. January to December listed in 3 letter format." sqref="I38 I43" xr:uid="{6AE3905D-B2BC-4F7A-A2D1-02AD7B528D52}"/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EFF7-F434-4AC0-8BAA-DF95FFF07B60}">
  <dimension ref="A1:AE82"/>
  <sheetViews>
    <sheetView tabSelected="1" zoomScale="115" zoomScaleNormal="115" workbookViewId="0">
      <selection activeCell="I21" sqref="I21"/>
    </sheetView>
  </sheetViews>
  <sheetFormatPr defaultRowHeight="14.25"/>
  <cols>
    <col min="1" max="1" width="31.75" bestFit="1" customWidth="1"/>
    <col min="2" max="2" width="21.125" customWidth="1"/>
    <col min="3" max="3" width="15.125" customWidth="1"/>
    <col min="4" max="4" width="18.875" bestFit="1" customWidth="1"/>
    <col min="5" max="5" width="21.5" customWidth="1"/>
    <col min="6" max="6" width="26.375" customWidth="1"/>
    <col min="7" max="7" width="14.125" customWidth="1"/>
    <col min="9" max="9" width="17.625" bestFit="1" customWidth="1"/>
    <col min="10" max="10" width="28.375" customWidth="1"/>
    <col min="27" max="27" width="13.5" customWidth="1"/>
    <col min="28" max="28" width="12.125" customWidth="1"/>
  </cols>
  <sheetData>
    <row r="1" spans="1:31" ht="15" thickBot="1">
      <c r="A1" s="21" t="s">
        <v>80</v>
      </c>
      <c r="B1" s="22"/>
      <c r="C1" s="22"/>
      <c r="D1" s="21" t="s">
        <v>81</v>
      </c>
      <c r="E1" s="22"/>
      <c r="F1" s="22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31" ht="15.75" thickBot="1">
      <c r="A2" s="37" t="s">
        <v>82</v>
      </c>
      <c r="B2" s="20"/>
      <c r="C2" s="87" t="s">
        <v>53</v>
      </c>
      <c r="D2" s="37" t="s">
        <v>83</v>
      </c>
      <c r="E2" s="20"/>
      <c r="F2" s="52">
        <v>300000</v>
      </c>
      <c r="G2" s="27"/>
      <c r="H2" s="27"/>
      <c r="I2" s="27"/>
      <c r="J2" s="53"/>
      <c r="K2" s="28"/>
      <c r="L2" s="28"/>
      <c r="M2" s="28"/>
      <c r="N2" s="54"/>
      <c r="O2" s="27"/>
      <c r="P2" s="27"/>
    </row>
    <row r="3" spans="1:31" ht="15.75" thickBot="1">
      <c r="A3" s="37" t="s">
        <v>84</v>
      </c>
      <c r="B3" s="20"/>
      <c r="C3" s="88">
        <v>1000000</v>
      </c>
      <c r="D3" s="37" t="s">
        <v>85</v>
      </c>
      <c r="E3" s="20"/>
      <c r="F3" s="51">
        <v>1</v>
      </c>
      <c r="G3" s="27"/>
      <c r="H3" s="27"/>
      <c r="I3" s="27"/>
      <c r="J3" s="53"/>
      <c r="K3" s="28"/>
      <c r="L3" s="28"/>
      <c r="M3" s="28"/>
      <c r="N3" s="54"/>
      <c r="O3" s="27"/>
      <c r="P3" s="27"/>
    </row>
    <row r="4" spans="1:31" ht="15" thickBot="1">
      <c r="A4" s="37" t="s">
        <v>86</v>
      </c>
      <c r="B4" s="20"/>
      <c r="C4" s="87">
        <v>5</v>
      </c>
      <c r="D4" s="37" t="s">
        <v>87</v>
      </c>
      <c r="E4" s="20"/>
      <c r="F4" s="52">
        <v>3850000</v>
      </c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31" ht="15" thickBot="1">
      <c r="A5" s="91" t="s">
        <v>51</v>
      </c>
      <c r="B5" s="105"/>
      <c r="C5" s="89">
        <v>8.5000000000000006E-2</v>
      </c>
      <c r="D5" s="37" t="s">
        <v>88</v>
      </c>
      <c r="E5" s="20"/>
      <c r="F5" s="83">
        <f>IF(AND(F2=0,F3=0),C6,Draft!N43)</f>
        <v>33894.379434796108</v>
      </c>
      <c r="G5" s="28"/>
      <c r="H5" s="27"/>
      <c r="I5" s="27"/>
      <c r="J5" s="27"/>
      <c r="K5" s="27"/>
      <c r="L5" s="28"/>
      <c r="M5" s="27"/>
      <c r="N5" s="27"/>
      <c r="O5" s="27"/>
      <c r="P5" s="27"/>
      <c r="AA5" t="s">
        <v>89</v>
      </c>
      <c r="AC5" t="s">
        <v>37</v>
      </c>
      <c r="AD5" t="s">
        <v>39</v>
      </c>
      <c r="AE5" t="s">
        <v>41</v>
      </c>
    </row>
    <row r="6" spans="1:31" ht="15" thickBot="1">
      <c r="A6" s="37" t="s">
        <v>90</v>
      </c>
      <c r="B6" s="20"/>
      <c r="C6" s="90">
        <f>Draft!M38</f>
        <v>1029815.1883691032</v>
      </c>
      <c r="D6" s="27"/>
      <c r="E6" s="27"/>
      <c r="F6" s="56"/>
      <c r="G6" s="28"/>
      <c r="H6" s="27"/>
      <c r="I6" s="27"/>
      <c r="J6" s="27"/>
      <c r="K6" s="27"/>
      <c r="L6" s="27"/>
      <c r="M6" s="27"/>
      <c r="N6" s="27"/>
      <c r="O6" s="27"/>
      <c r="P6" s="27"/>
    </row>
    <row r="7" spans="1:31">
      <c r="A7" s="27"/>
      <c r="B7" s="27"/>
      <c r="C7" s="27"/>
      <c r="D7" s="27"/>
      <c r="E7" s="27"/>
      <c r="F7" s="28"/>
      <c r="G7" s="28"/>
      <c r="H7" s="27"/>
      <c r="I7" s="27"/>
      <c r="J7" s="27"/>
      <c r="K7" s="27"/>
      <c r="L7" s="27"/>
      <c r="M7" s="27"/>
      <c r="N7" s="27"/>
      <c r="O7" s="27"/>
      <c r="P7" s="27"/>
    </row>
    <row r="8" spans="1:31" ht="15" thickBo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31" ht="24" thickBot="1">
      <c r="A9" s="27"/>
      <c r="B9" s="27"/>
      <c r="C9" s="103" t="s">
        <v>91</v>
      </c>
      <c r="D9" s="104"/>
      <c r="E9" s="93">
        <f>F5</f>
        <v>33894.379434796108</v>
      </c>
      <c r="F9" s="92" t="str">
        <f>IF(F5&lt;0,"It Is Time!!!",IF(AND(F5&gt;0, F5&lt;100000), "Closely monitor!!","Project is safe"))</f>
        <v>Closely monitor!!</v>
      </c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3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3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3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AA12" t="s">
        <v>5</v>
      </c>
      <c r="AB12" t="e">
        <f>ROUND(_xlfn.XLOOKUP(#REF!,Draft!$B$13:$B$24,Draft!C$13:C$24,"",0,1),0)</f>
        <v>#REF!</v>
      </c>
      <c r="AC12" t="e">
        <f>ROUND($AB12*Draft!D39,0)</f>
        <v>#REF!</v>
      </c>
      <c r="AD12" t="e">
        <f>ROUND($AB12*Draft!E39,0)</f>
        <v>#REF!</v>
      </c>
      <c r="AE12" t="e">
        <f>ROUND($AB12*Draft!F39,0)</f>
        <v>#REF!</v>
      </c>
    </row>
    <row r="13" spans="1:31" ht="15" thickBo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AA13" t="s">
        <v>92</v>
      </c>
      <c r="AB13" t="e">
        <f>ROUND(_xlfn.XLOOKUP(#REF!,Draft!$B$13:$B$24,Draft!D$13:D$24,"",0,1),0)</f>
        <v>#REF!</v>
      </c>
      <c r="AC13" t="e">
        <f>ROUND($AB13*Draft!D40,0)</f>
        <v>#REF!</v>
      </c>
      <c r="AD13" t="e">
        <f>ROUND($AB13*Draft!E40,0)</f>
        <v>#REF!</v>
      </c>
      <c r="AE13" t="e">
        <f>ROUND($AB13*Draft!F40,0)</f>
        <v>#REF!</v>
      </c>
    </row>
    <row r="14" spans="1:31" ht="15" thickBot="1">
      <c r="A14" s="27"/>
      <c r="B14" s="38" t="str">
        <f xml:space="preserve"> "Financials of "&amp;C2&amp;" Project:"</f>
        <v>Financials of Biotech Industry Project:</v>
      </c>
      <c r="C14" s="25"/>
      <c r="D14" s="26"/>
      <c r="E14" s="28"/>
      <c r="F14" s="28"/>
      <c r="G14" s="28"/>
      <c r="H14" s="86"/>
      <c r="I14" s="69" t="s">
        <v>93</v>
      </c>
      <c r="J14" s="70"/>
      <c r="K14" s="70"/>
      <c r="L14" s="27"/>
      <c r="M14" s="27"/>
      <c r="N14" s="27"/>
      <c r="O14" s="27"/>
      <c r="P14" s="27"/>
      <c r="AA14" t="s">
        <v>7</v>
      </c>
      <c r="AB14" t="e">
        <f>ROUND(_xlfn.XLOOKUP(#REF!,Draft!$B$13:$B$24,Draft!E$13:E$24,"",0,1),0)</f>
        <v>#REF!</v>
      </c>
      <c r="AC14" t="e">
        <f>ROUND($AB14*Draft!D41,0)</f>
        <v>#REF!</v>
      </c>
      <c r="AD14" t="e">
        <f>ROUND($AB14*Draft!E41,0)</f>
        <v>#REF!</v>
      </c>
      <c r="AE14" t="e">
        <f>ROUND($AB14*Draft!F41,0)</f>
        <v>#REF!</v>
      </c>
    </row>
    <row r="15" spans="1:31" ht="15.75" thickBot="1">
      <c r="A15" s="27"/>
      <c r="B15" s="55" t="s">
        <v>94</v>
      </c>
      <c r="C15" s="23"/>
      <c r="D15" s="23"/>
      <c r="E15" s="23"/>
      <c r="F15" s="23"/>
      <c r="G15" s="24"/>
      <c r="H15" s="84">
        <f>Draft!K43</f>
        <v>0.2</v>
      </c>
      <c r="I15" s="68" t="str">
        <f>_xlfn.XLOOKUP($F$3,$AA$12:$AA$14,$AC$12:$AC$14,"",0,1)</f>
        <v/>
      </c>
      <c r="J15" s="70" t="str">
        <f>_xlfn.XLOOKUP($F$3,$AA$12:$AA$14,$AD$12:$AD$14,"",0,1)</f>
        <v/>
      </c>
      <c r="K15" s="70" t="str">
        <f>_xlfn.XLOOKUP($F$3,$AA$12:$AA$14,$AE$12:$AE$14,"",0,1)</f>
        <v/>
      </c>
      <c r="L15" s="27"/>
      <c r="M15" s="27"/>
      <c r="N15" s="27"/>
      <c r="O15" s="27"/>
      <c r="P15" s="27"/>
    </row>
    <row r="16" spans="1:31" ht="15.75" thickBot="1">
      <c r="A16" s="27"/>
      <c r="B16" s="31" t="str">
        <f xml:space="preserve"> "Schedule tolerance of "&amp;C2&amp;" Project for safe zone:"</f>
        <v>Schedule tolerance of Biotech Industry Project for safe zone:</v>
      </c>
      <c r="C16" s="23"/>
      <c r="D16" s="23"/>
      <c r="E16" s="23"/>
      <c r="F16" s="23"/>
      <c r="G16" s="24"/>
      <c r="H16" s="85">
        <f>('Draft (duplicate)'!H78-C4)/C4</f>
        <v>0.4</v>
      </c>
      <c r="I16" s="71">
        <f>'Draft (duplicate)'!H78-C4</f>
        <v>2</v>
      </c>
      <c r="J16" s="70" t="str">
        <f>_xlfn.XLOOKUP($F$3,$AA$19:$AA$21,$AD$19:$AD$21,"",0,1)</f>
        <v/>
      </c>
      <c r="K16" s="70" t="str">
        <f>_xlfn.XLOOKUP($F$3,$AA$19:$AA$21,$AE$19:$AE$21,"",0,1)</f>
        <v/>
      </c>
      <c r="L16" s="27"/>
      <c r="M16" s="27"/>
      <c r="N16" s="27"/>
      <c r="O16" s="27"/>
      <c r="P16" s="27"/>
      <c r="AA16" t="s">
        <v>95</v>
      </c>
    </row>
    <row r="17" spans="1:31" ht="15.75" thickBot="1">
      <c r="A17" s="27"/>
      <c r="B17" s="55" t="s">
        <v>96</v>
      </c>
      <c r="C17" s="23"/>
      <c r="D17" s="23"/>
      <c r="E17" s="23"/>
      <c r="F17" s="23"/>
      <c r="G17" s="24"/>
      <c r="H17" s="84">
        <f>Draft!M43</f>
        <v>0.3</v>
      </c>
      <c r="I17" s="68"/>
      <c r="J17" s="70"/>
      <c r="K17" s="70"/>
      <c r="L17" s="27"/>
      <c r="M17" s="27"/>
      <c r="N17" s="27"/>
      <c r="O17" s="27"/>
      <c r="P17" s="27"/>
    </row>
    <row r="18" spans="1:31" ht="15.75" thickBot="1">
      <c r="A18" s="27"/>
      <c r="B18" s="55" t="str">
        <f xml:space="preserve"> "Budget tolerance of "&amp;C2&amp;" Project:"</f>
        <v>Budget tolerance of Biotech Industry Project:</v>
      </c>
      <c r="C18" s="23"/>
      <c r="D18" s="23"/>
      <c r="E18" s="23"/>
      <c r="F18" s="23"/>
      <c r="G18" s="24"/>
      <c r="H18" s="84">
        <f>'Draft (duplicate)'!H79</f>
        <v>0.3</v>
      </c>
      <c r="I18" s="72">
        <f>C3*H18</f>
        <v>300000</v>
      </c>
      <c r="J18" s="70"/>
      <c r="K18" s="70"/>
      <c r="L18" s="27"/>
      <c r="M18" s="27"/>
      <c r="N18" s="27"/>
      <c r="O18" s="27"/>
      <c r="P18" s="27"/>
    </row>
    <row r="19" spans="1:31">
      <c r="A19" s="27"/>
      <c r="B19" s="55" t="s">
        <v>97</v>
      </c>
      <c r="C19" s="23"/>
      <c r="D19" s="23"/>
      <c r="E19" s="23"/>
      <c r="F19" s="23"/>
      <c r="G19" s="24"/>
      <c r="H19" s="106" t="s">
        <v>98</v>
      </c>
      <c r="I19" s="107" t="s">
        <v>98</v>
      </c>
      <c r="J19" s="70" t="str">
        <f>_xlfn.XLOOKUP($F$3,$AA$24:$AA$26,$AD$24:$AD$26,"",0,1)</f>
        <v/>
      </c>
      <c r="K19" s="70" t="str">
        <f>_xlfn.XLOOKUP($F$3,$AA$24:$AA$26,$AE$24:$AE$26,"",0,1)</f>
        <v/>
      </c>
      <c r="L19" s="27"/>
      <c r="M19" s="27"/>
      <c r="N19" s="27"/>
      <c r="O19" s="27"/>
      <c r="P19" s="27"/>
      <c r="AA19" t="s">
        <v>5</v>
      </c>
      <c r="AB19" t="e">
        <f>ROUND(_xlfn.XLOOKUP($F$2,Draft!$B$3:$B$8,Draft!$H$3:$H$8,"",0,1),0)</f>
        <v>#VALUE!</v>
      </c>
      <c r="AC19" t="e">
        <f>ROUND($AB19*Draft!D39,0)</f>
        <v>#VALUE!</v>
      </c>
      <c r="AD19" t="e">
        <f>ROUND($AB19*Draft!E39,0)</f>
        <v>#VALUE!</v>
      </c>
      <c r="AE19" t="e">
        <f>ROUND($AB19*Draft!F39,0)</f>
        <v>#VALUE!</v>
      </c>
    </row>
    <row r="20" spans="1:31">
      <c r="A20" s="27"/>
      <c r="B20" s="27"/>
      <c r="C20" s="27"/>
      <c r="D20" s="27"/>
      <c r="E20" s="27"/>
      <c r="F20" s="27"/>
      <c r="G20" s="27"/>
      <c r="H20" s="27"/>
      <c r="I20" s="28"/>
      <c r="J20" s="28"/>
      <c r="K20" s="28"/>
      <c r="L20" s="27"/>
      <c r="M20" s="27"/>
      <c r="N20" s="27"/>
      <c r="O20" s="27"/>
      <c r="P20" s="27"/>
      <c r="AA20" t="s">
        <v>92</v>
      </c>
      <c r="AB20" t="e">
        <f>ROUND(_xlfn.XLOOKUP($F$2,Draft!$B$3:$B$8,Draft!$I$3:$I$8,"",0,1),0)</f>
        <v>#VALUE!</v>
      </c>
      <c r="AC20" t="e">
        <f>ROUND($AB20*Draft!D40,0)</f>
        <v>#VALUE!</v>
      </c>
      <c r="AD20" t="e">
        <f>ROUND($AB20*Draft!E40,0)</f>
        <v>#VALUE!</v>
      </c>
      <c r="AE20" t="e">
        <f>ROUND($AB20*Draft!F40,0)</f>
        <v>#VALUE!</v>
      </c>
    </row>
    <row r="21" spans="1:3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AA21" t="s">
        <v>7</v>
      </c>
      <c r="AB21" t="e">
        <f>ROUND(_xlfn.XLOOKUP($F$2,Draft!$B$3:$B$8,Draft!$J$3:$J$8,"",0,1),0)</f>
        <v>#VALUE!</v>
      </c>
      <c r="AC21" t="e">
        <f>ROUND($AB21*Draft!D41,0)</f>
        <v>#VALUE!</v>
      </c>
      <c r="AD21" t="e">
        <f>ROUND($AB21*Draft!E41,0)</f>
        <v>#VALUE!</v>
      </c>
      <c r="AE21" t="e">
        <f>ROUND($AB21*Draft!F41,0)</f>
        <v>#VALUE!</v>
      </c>
    </row>
    <row r="22" spans="1:3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3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AA23" t="s">
        <v>99</v>
      </c>
    </row>
    <row r="24" spans="1:3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AA24" t="s">
        <v>5</v>
      </c>
      <c r="AB24" t="e">
        <f>ROUND(_xlfn.XLOOKUP($F$2,Draft!$B$3:$B$8,Draft!$H$3:$H$8,"",0,1)-_xlfn.XLOOKUP(#REF!,Draft!$B$13:$B$24,Draft!C$13:C$24,"",0,1),0)</f>
        <v>#VALUE!</v>
      </c>
      <c r="AC24" t="e">
        <f>ROUND($AB24*Draft!D39,0)</f>
        <v>#VALUE!</v>
      </c>
      <c r="AD24" t="e">
        <f>ROUND($AB24*Draft!E39,0)</f>
        <v>#VALUE!</v>
      </c>
      <c r="AE24" t="e">
        <f>ROUND($AB24*Draft!F39,0)</f>
        <v>#VALUE!</v>
      </c>
    </row>
    <row r="25" spans="1:3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AA25" t="s">
        <v>92</v>
      </c>
      <c r="AB25" t="e">
        <f>ROUND(_xlfn.XLOOKUP($F$2,Draft!$B$3:$B$8,Draft!$I$3:$I$8,"",0,1)-_xlfn.XLOOKUP(#REF!,Draft!$B$13:$B$24,Draft!D$13:D$24,"",0,1),0)</f>
        <v>#VALUE!</v>
      </c>
      <c r="AC25" t="e">
        <f>ROUND($AB25*Draft!D40,0)</f>
        <v>#VALUE!</v>
      </c>
      <c r="AD25" t="e">
        <f>ROUND($AB25*Draft!E40,0)</f>
        <v>#VALUE!</v>
      </c>
      <c r="AE25" t="e">
        <f>ROUND($AB25*Draft!F40,0)</f>
        <v>#VALUE!</v>
      </c>
    </row>
    <row r="26" spans="1:3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AA26" t="s">
        <v>7</v>
      </c>
      <c r="AB26" t="e">
        <f>ROUND(_xlfn.XLOOKUP($F$2,Draft!$B$3:$B$8,Draft!$J$3:$J$8,"",0,1)-_xlfn.XLOOKUP(#REF!,Draft!$B$13:$B$24,Draft!E$13:E$24,"",0,1),0)</f>
        <v>#VALUE!</v>
      </c>
      <c r="AC26" t="e">
        <f>ROUND($AB26*Draft!D41,0)</f>
        <v>#VALUE!</v>
      </c>
      <c r="AD26" t="e">
        <f>ROUND($AB26*Draft!E41,0)</f>
        <v>#VALUE!</v>
      </c>
      <c r="AE26" t="e">
        <f>ROUND($AB26*Draft!F41,0)</f>
        <v>#VALUE!</v>
      </c>
    </row>
    <row r="27" spans="1:3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3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3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3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3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spans="1:1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1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</row>
    <row r="45" spans="1:1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1:1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1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s="74" customFormat="1"/>
    <row r="52" spans="1:16" s="74" customFormat="1">
      <c r="C52" s="75"/>
      <c r="D52" s="75"/>
      <c r="E52" s="75"/>
      <c r="F52" s="75"/>
      <c r="G52" s="76"/>
    </row>
    <row r="53" spans="1:16" s="74" customFormat="1" ht="15">
      <c r="A53" s="102" t="s">
        <v>57</v>
      </c>
      <c r="B53" s="102"/>
      <c r="C53" s="102"/>
      <c r="D53" s="102"/>
      <c r="E53" s="102"/>
    </row>
    <row r="54" spans="1:16" s="74" customFormat="1" ht="15">
      <c r="A54" s="77" t="s">
        <v>27</v>
      </c>
      <c r="B54" s="77" t="s">
        <v>58</v>
      </c>
      <c r="C54" s="77" t="s">
        <v>59</v>
      </c>
      <c r="D54" s="73" t="s">
        <v>60</v>
      </c>
      <c r="E54" s="73" t="s">
        <v>61</v>
      </c>
    </row>
    <row r="55" spans="1:16" s="74" customFormat="1">
      <c r="A55" s="74" t="str">
        <f>C2</f>
        <v>Biotech Industry</v>
      </c>
      <c r="B55" s="78">
        <v>4</v>
      </c>
      <c r="C55" s="79">
        <v>200543</v>
      </c>
      <c r="D55" s="78">
        <v>10</v>
      </c>
      <c r="E55" s="80">
        <f>NPV($M$36,C66:L66)+B66</f>
        <v>0</v>
      </c>
    </row>
    <row r="56" spans="1:16" s="74" customFormat="1"/>
    <row r="57" spans="1:16" s="74" customFormat="1"/>
    <row r="58" spans="1:16" s="74" customFormat="1" ht="15">
      <c r="A58" s="102" t="s">
        <v>67</v>
      </c>
      <c r="B58" s="102"/>
      <c r="C58" s="102"/>
      <c r="D58" s="102"/>
      <c r="E58" s="102"/>
      <c r="F58" s="102"/>
    </row>
    <row r="59" spans="1:16" s="74" customFormat="1" ht="15">
      <c r="A59" s="73" t="s">
        <v>27</v>
      </c>
      <c r="B59" s="73" t="s">
        <v>69</v>
      </c>
      <c r="C59" s="73" t="s">
        <v>70</v>
      </c>
      <c r="D59" s="73" t="s">
        <v>71</v>
      </c>
      <c r="E59" s="73" t="s">
        <v>72</v>
      </c>
      <c r="F59" s="73" t="s">
        <v>61</v>
      </c>
    </row>
    <row r="60" spans="1:16" s="74" customFormat="1">
      <c r="A60" s="74" t="str">
        <f>A55</f>
        <v>Biotech Industry</v>
      </c>
      <c r="B60" s="78">
        <f>C4+F3</f>
        <v>6</v>
      </c>
      <c r="C60" s="81">
        <f>(B60-B55)/B55</f>
        <v>0.5</v>
      </c>
      <c r="D60" s="79">
        <f>C3+F2</f>
        <v>1300000</v>
      </c>
      <c r="E60" s="81">
        <f>(D60-C55)/C55</f>
        <v>5.4824002832310281</v>
      </c>
      <c r="F60" s="79" t="e">
        <f>NPV($M$36,#REF!)+#REF!</f>
        <v>#REF!</v>
      </c>
    </row>
    <row r="61" spans="1:16" s="74" customFormat="1"/>
    <row r="62" spans="1:16" s="74" customFormat="1">
      <c r="I62" s="82"/>
    </row>
    <row r="63" spans="1:16" s="74" customFormat="1" ht="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</row>
    <row r="64" spans="1:16">
      <c r="A64" s="31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1:14">
      <c r="A65" s="31"/>
      <c r="G65" s="45"/>
      <c r="H65" s="45"/>
      <c r="I65" s="40"/>
      <c r="J65" s="40"/>
      <c r="K65" s="40"/>
      <c r="L65" s="40"/>
      <c r="M65" s="40"/>
      <c r="N65" s="40"/>
    </row>
    <row r="66" spans="1:14">
      <c r="A66" s="31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</row>
    <row r="67" spans="1:14">
      <c r="I67" s="39"/>
    </row>
    <row r="68" spans="1:14">
      <c r="I68" s="39"/>
    </row>
    <row r="69" spans="1:14">
      <c r="B69" s="31"/>
    </row>
    <row r="70" spans="1:14">
      <c r="B70" s="39"/>
    </row>
    <row r="71" spans="1:14">
      <c r="B71" s="39"/>
    </row>
    <row r="72" spans="1:14">
      <c r="B72" s="39"/>
    </row>
    <row r="73" spans="1:14">
      <c r="B73" s="39"/>
    </row>
    <row r="74" spans="1:14">
      <c r="B74" s="39"/>
    </row>
    <row r="75" spans="1:14">
      <c r="B75" s="39"/>
    </row>
    <row r="76" spans="1:14">
      <c r="B76" s="39"/>
    </row>
    <row r="77" spans="1:14">
      <c r="B77" s="39"/>
    </row>
    <row r="78" spans="1:14">
      <c r="B78" s="39"/>
    </row>
    <row r="79" spans="1:14">
      <c r="B79" s="39"/>
    </row>
    <row r="80" spans="1:14">
      <c r="B80" s="39"/>
    </row>
    <row r="81" spans="2:2">
      <c r="B81" s="39"/>
    </row>
    <row r="82" spans="2:2">
      <c r="B82" s="39"/>
    </row>
  </sheetData>
  <mergeCells count="3">
    <mergeCell ref="A53:E53"/>
    <mergeCell ref="A58:F58"/>
    <mergeCell ref="C9:D9"/>
  </mergeCells>
  <conditionalFormatting sqref="F5">
    <cfRule type="expression" dxfId="3" priority="10">
      <formula>$F$5&lt;0</formula>
    </cfRule>
    <cfRule type="expression" dxfId="2" priority="11">
      <formula>$F$5&lt;0</formula>
    </cfRule>
  </conditionalFormatting>
  <conditionalFormatting sqref="F9">
    <cfRule type="colorScale" priority="8">
      <colorScale>
        <cfvo type="formula" val="$F$5&lt;0"/>
        <cfvo type="formula" val="$F$5&gt;0"/>
        <cfvo type="max"/>
        <color rgb="FFF8696B"/>
        <color rgb="FFFFEB84"/>
        <color rgb="FF63BE7B"/>
      </colorScale>
    </cfRule>
  </conditionalFormatting>
  <conditionalFormatting sqref="H16">
    <cfRule type="expression" dxfId="1" priority="2">
      <formula>$H$15&gt;$H$16</formula>
    </cfRule>
  </conditionalFormatting>
  <conditionalFormatting sqref="H18">
    <cfRule type="expression" dxfId="0" priority="1">
      <formula>$H$17&gt;$H$18</formula>
    </cfRule>
  </conditionalFormatting>
  <dataValidations count="4">
    <dataValidation allowBlank="1" showInputMessage="1" showErrorMessage="1" promptTitle="Select Work Type" prompt="Select work type from drop down list." sqref="C55:E55 D60:F60" xr:uid="{8AD7C10D-42FF-49BC-920E-36C9E2D0E865}"/>
    <dataValidation allowBlank="1" showInputMessage="1" showErrorMessage="1" promptTitle="Select Month" prompt="Select month from drop down list. January to December listed in 3 letter format." sqref="A60 A55 C4" xr:uid="{F3CC5E6A-EA63-4F2B-99D5-229225387AF2}"/>
    <dataValidation allowBlank="1" showInputMessage="1" showErrorMessage="1" promptTitle="Select Incident Category" prompt="Select Incident Category from drop down list. In N/A, see supervisor." sqref="C6 B55 B60:C60 F6" xr:uid="{39B91505-4EBA-4EF6-8C85-6445FDF8D1A0}"/>
    <dataValidation allowBlank="1" showInputMessage="1" showErrorMessage="1" promptTitle="Select Industry" prompt="Select Industry from drop down list. " sqref="C3" xr:uid="{7CC7308B-9468-4EA7-898E-CB204B5D7022}"/>
  </dataValidations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69AE9A11-73DE-414F-A37D-0EF24DC2F8F8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10000</xm:f>
              </x14:cfvo>
              <x14:cfIcon iconSet="3Symbols2" iconId="0"/>
              <x14:cfIcon iconSet="3Symbols2" iconId="1"/>
              <x14:cfIcon iconSet="3Flags" iconId="2"/>
            </x14:iconSet>
          </x14:cfRule>
          <xm:sqref>F9</xm:sqref>
        </x14:conditionalFormatting>
        <x14:conditionalFormatting xmlns:xm="http://schemas.microsoft.com/office/excel/2006/main">
          <x14:cfRule type="iconSet" priority="3" id="{CD5F60A1-716A-4972-A0C8-9719ADA0B5F5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100000</xm:f>
              </x14:cfvo>
              <x14:cfIcon iconSet="3Symbols2" iconId="0"/>
              <x14:cfIcon iconSet="3Symbols2" iconId="1"/>
              <x14:cfIcon iconSet="3Flags" iconId="2"/>
            </x14:iconSet>
          </x14:cfRule>
          <x14:cfRule type="iconSet" priority="6" id="{6E064E78-7847-4EEF-AA15-4F3DFF9FCA5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10001</xm:f>
              </x14:cfvo>
              <x14:cfIcon iconSet="3Symbols2" iconId="0"/>
              <x14:cfIcon iconSet="3Symbols2" iconId="1"/>
              <x14:cfIcon iconSet="3Flags" iconId="2"/>
            </x14:iconSet>
          </x14:cfRule>
          <xm:sqref>E9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Industry" prompt="Select Industry from drop down list. " xr:uid="{CC4BCAA0-6970-4684-8A28-F402A15AD6F0}">
          <x14:formula1>
            <xm:f>Draft!$I$30:$I$33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892C-1F3E-4291-BA2C-D8A586643A7A}">
  <dimension ref="A1:AA106"/>
  <sheetViews>
    <sheetView topLeftCell="D41" zoomScaleNormal="100" workbookViewId="0">
      <selection activeCell="H74" sqref="H74"/>
    </sheetView>
  </sheetViews>
  <sheetFormatPr defaultRowHeight="14.25"/>
  <cols>
    <col min="1" max="1" width="13.875" bestFit="1" customWidth="1"/>
    <col min="2" max="2" width="16.75" bestFit="1" customWidth="1"/>
    <col min="3" max="3" width="20.75" bestFit="1" customWidth="1"/>
    <col min="4" max="4" width="22.75" bestFit="1" customWidth="1"/>
    <col min="5" max="5" width="17.375" customWidth="1"/>
    <col min="6" max="6" width="26.75" bestFit="1" customWidth="1"/>
    <col min="7" max="7" width="16.375" customWidth="1"/>
    <col min="8" max="8" width="17.125" customWidth="1"/>
    <col min="9" max="9" width="17.625" bestFit="1" customWidth="1"/>
    <col min="10" max="10" width="25.75" bestFit="1" customWidth="1"/>
    <col min="11" max="11" width="18.5" customWidth="1"/>
    <col min="12" max="12" width="22.375" bestFit="1" customWidth="1"/>
    <col min="13" max="13" width="17.25" bestFit="1" customWidth="1"/>
    <col min="14" max="14" width="14" customWidth="1"/>
    <col min="15" max="15" width="15.75" bestFit="1" customWidth="1"/>
    <col min="16" max="16" width="12.25" customWidth="1"/>
    <col min="17" max="17" width="15.75" customWidth="1"/>
    <col min="18" max="18" width="14.375" customWidth="1"/>
    <col min="19" max="19" width="13.125" customWidth="1"/>
    <col min="20" max="20" width="12.875" bestFit="1" customWidth="1"/>
    <col min="21" max="21" width="14" customWidth="1"/>
    <col min="22" max="22" width="13.125" customWidth="1"/>
    <col min="23" max="27" width="12.875" bestFit="1" customWidth="1"/>
  </cols>
  <sheetData>
    <row r="1" spans="1:19">
      <c r="E1" s="100" t="s">
        <v>0</v>
      </c>
      <c r="F1" s="100"/>
      <c r="G1" s="100"/>
      <c r="H1" s="100" t="s">
        <v>1</v>
      </c>
      <c r="I1" s="100"/>
      <c r="J1" s="100"/>
    </row>
    <row r="2" spans="1:19">
      <c r="B2" t="s">
        <v>2</v>
      </c>
      <c r="C2" t="s">
        <v>3</v>
      </c>
      <c r="D2" t="s">
        <v>4</v>
      </c>
      <c r="E2" s="3" t="s">
        <v>5</v>
      </c>
      <c r="F2" s="3" t="s">
        <v>6</v>
      </c>
      <c r="G2" s="3" t="s">
        <v>7</v>
      </c>
      <c r="H2" t="s">
        <v>5</v>
      </c>
      <c r="I2" t="s">
        <v>8</v>
      </c>
      <c r="J2" t="s">
        <v>7</v>
      </c>
    </row>
    <row r="3" spans="1:19">
      <c r="B3" t="s">
        <v>9</v>
      </c>
      <c r="C3">
        <v>204.1</v>
      </c>
      <c r="D3" s="1">
        <f>C3/30</f>
        <v>6.8033333333333328</v>
      </c>
      <c r="E3">
        <v>45</v>
      </c>
      <c r="F3">
        <v>48</v>
      </c>
      <c r="G3">
        <v>39</v>
      </c>
      <c r="H3" s="1">
        <f>($E3*$C$39)/45</f>
        <v>168</v>
      </c>
      <c r="I3" s="1">
        <f>($F3*$C$40)/45</f>
        <v>162.13333333333333</v>
      </c>
      <c r="J3" s="1">
        <f>($G3*$C$41)/45</f>
        <v>39.866666666666667</v>
      </c>
    </row>
    <row r="4" spans="1:19" ht="15" thickBot="1">
      <c r="B4" t="s">
        <v>10</v>
      </c>
      <c r="C4">
        <v>308.3</v>
      </c>
      <c r="D4" s="1">
        <f t="shared" ref="D4:D8" si="0">C4/30</f>
        <v>10.276666666666667</v>
      </c>
      <c r="E4">
        <v>48</v>
      </c>
      <c r="F4">
        <v>62</v>
      </c>
      <c r="G4">
        <v>51</v>
      </c>
      <c r="H4" s="1">
        <f t="shared" ref="H4:H8" si="1">($E4*$C$39)/45</f>
        <v>179.2</v>
      </c>
      <c r="I4" s="1">
        <f t="shared" ref="I4:I8" si="2">($F4*$C$40)/45</f>
        <v>209.42222222222222</v>
      </c>
      <c r="J4" s="1">
        <f t="shared" ref="J4:J8" si="3">($G4*$C$41)/45</f>
        <v>52.133333333333333</v>
      </c>
    </row>
    <row r="5" spans="1:19" ht="15">
      <c r="B5" t="s">
        <v>11</v>
      </c>
      <c r="C5">
        <v>90.9</v>
      </c>
      <c r="D5" s="1">
        <f t="shared" si="0"/>
        <v>3.0300000000000002</v>
      </c>
      <c r="E5">
        <v>48</v>
      </c>
      <c r="F5">
        <v>39</v>
      </c>
      <c r="G5">
        <v>57</v>
      </c>
      <c r="H5" s="1">
        <f t="shared" si="1"/>
        <v>179.2</v>
      </c>
      <c r="I5" s="1">
        <f t="shared" si="2"/>
        <v>131.73333333333332</v>
      </c>
      <c r="J5" s="1">
        <f t="shared" si="3"/>
        <v>58.266666666666666</v>
      </c>
      <c r="R5" s="14" t="s">
        <v>12</v>
      </c>
      <c r="S5" s="15" t="s">
        <v>13</v>
      </c>
    </row>
    <row r="6" spans="1:19" ht="15">
      <c r="B6" t="s">
        <v>14</v>
      </c>
      <c r="C6">
        <v>279.7</v>
      </c>
      <c r="D6" s="1">
        <f t="shared" si="0"/>
        <v>9.3233333333333324</v>
      </c>
      <c r="E6">
        <v>22</v>
      </c>
      <c r="F6">
        <v>27</v>
      </c>
      <c r="G6">
        <v>39</v>
      </c>
      <c r="H6" s="1">
        <f t="shared" si="1"/>
        <v>82.13333333333334</v>
      </c>
      <c r="I6" s="1">
        <f t="shared" si="2"/>
        <v>91.2</v>
      </c>
      <c r="J6" s="1">
        <f t="shared" si="3"/>
        <v>39.866666666666667</v>
      </c>
      <c r="N6" s="101" t="s">
        <v>15</v>
      </c>
      <c r="O6" s="101"/>
      <c r="P6" s="101"/>
      <c r="R6" s="16" t="str">
        <f>"Recommended Hires for "  &amp; $L$14 &amp; " projects in " &amp;M14&amp;":"</f>
        <v>Recommended Hires for Standard projects in March:</v>
      </c>
      <c r="S6" s="18">
        <f>_xlfn.XLOOKUP($L$14,N7:P7,N8:P8,"",0,1)</f>
        <v>139</v>
      </c>
    </row>
    <row r="7" spans="1:19" ht="15">
      <c r="B7" t="s">
        <v>16</v>
      </c>
      <c r="C7">
        <v>70</v>
      </c>
      <c r="D7" s="1">
        <f t="shared" si="0"/>
        <v>2.3333333333333335</v>
      </c>
      <c r="E7">
        <v>25</v>
      </c>
      <c r="F7">
        <v>24</v>
      </c>
      <c r="G7">
        <v>18</v>
      </c>
      <c r="H7" s="1">
        <f t="shared" si="1"/>
        <v>93.333333333333329</v>
      </c>
      <c r="I7" s="1">
        <f t="shared" si="2"/>
        <v>81.066666666666663</v>
      </c>
      <c r="J7" s="1">
        <f t="shared" si="3"/>
        <v>18.399999999999999</v>
      </c>
      <c r="N7" s="12" t="s">
        <v>5</v>
      </c>
      <c r="O7" s="12" t="s">
        <v>6</v>
      </c>
      <c r="P7" s="12" t="s">
        <v>7</v>
      </c>
      <c r="R7" s="16" t="str">
        <f>"Recommended Hires for " &amp;$L$14&amp;" " &amp;$K$14 &amp; " projects:"</f>
        <v>Recommended Hires for Standard Hurricane projects:</v>
      </c>
      <c r="S7" s="18">
        <f>_xlfn.XLOOKUP($L$14,N10:P10,N11:P11,"",0,1)</f>
        <v>179</v>
      </c>
    </row>
    <row r="8" spans="1:19" ht="15">
      <c r="B8" t="s">
        <v>17</v>
      </c>
      <c r="C8">
        <v>116.08</v>
      </c>
      <c r="D8" s="1">
        <f t="shared" si="0"/>
        <v>3.8693333333333331</v>
      </c>
      <c r="E8">
        <v>8</v>
      </c>
      <c r="F8">
        <v>8</v>
      </c>
      <c r="G8">
        <v>8</v>
      </c>
      <c r="H8" s="1">
        <f t="shared" si="1"/>
        <v>29.866666666666667</v>
      </c>
      <c r="I8" s="1">
        <f t="shared" si="2"/>
        <v>27.022222222222222</v>
      </c>
      <c r="J8" s="1">
        <f t="shared" si="3"/>
        <v>8.1777777777777771</v>
      </c>
      <c r="N8" s="7">
        <f>ROUND(_xlfn.XLOOKUP($M$14,$B$13:$B$24,C$13:C$24,"",0,1),0)</f>
        <v>139</v>
      </c>
      <c r="O8" s="7">
        <f t="shared" ref="O8:P8" si="4">ROUND(_xlfn.XLOOKUP($M$14,$B$13:$B$24,D$13:D$24,"",0,1),0)</f>
        <v>85</v>
      </c>
      <c r="P8" s="7">
        <f t="shared" si="4"/>
        <v>50</v>
      </c>
      <c r="R8" s="16" t="str">
        <f>"Recommended additional hires for " &amp;$L$14&amp;" " &amp;$K$14 &amp; " projects in " &amp; $M$14 &amp; ":"</f>
        <v>Recommended additional hires for Standard Hurricane projects in March:</v>
      </c>
      <c r="S8" s="18">
        <f>_xlfn.XLOOKUP($L$14,N13:P13,N14:P14,"",0,1)</f>
        <v>40</v>
      </c>
    </row>
    <row r="9" spans="1:19" ht="15">
      <c r="B9" t="s">
        <v>18</v>
      </c>
      <c r="N9" s="101" t="s">
        <v>19</v>
      </c>
      <c r="O9" s="101"/>
      <c r="P9" s="101"/>
      <c r="R9" s="16" t="str">
        <f>"Recommended FTE hires for " &amp;$L$14&amp;" " &amp;$K$14 &amp; " projects in " &amp; $M$14 &amp; ":"</f>
        <v>Recommended FTE hires for Standard Hurricane projects in March:</v>
      </c>
      <c r="S9" s="18">
        <f>_xlfn.XLOOKUP($L$14,N13:P13,N16:P16,"",0,1)</f>
        <v>22</v>
      </c>
    </row>
    <row r="10" spans="1:19" ht="15">
      <c r="N10" s="12" t="s">
        <v>5</v>
      </c>
      <c r="O10" s="12" t="s">
        <v>6</v>
      </c>
      <c r="P10" s="12" t="s">
        <v>7</v>
      </c>
      <c r="R10" s="16" t="str">
        <f>"Recommended TAC hires for " &amp;$L$14&amp;" " &amp;$K$14 &amp; " projects in " &amp; $M$14 &amp; ":"</f>
        <v>Recommended TAC hires for Standard Hurricane projects in March:</v>
      </c>
      <c r="S10" s="18">
        <f>_xlfn.XLOOKUP($L$14,N13:P13,N17:P17,"",0,1)</f>
        <v>14</v>
      </c>
    </row>
    <row r="11" spans="1:19" ht="15.75" thickBot="1">
      <c r="C11" s="100" t="s">
        <v>20</v>
      </c>
      <c r="D11" s="100"/>
      <c r="E11" s="100"/>
      <c r="F11" s="3"/>
      <c r="G11" s="3"/>
      <c r="N11" s="7">
        <f>ROUND(_xlfn.XLOOKUP($K$14,$B$3:$B$8,H$3:H$8,"",0,1),0)</f>
        <v>179</v>
      </c>
      <c r="O11" s="7">
        <f t="shared" ref="O11:P11" si="5">ROUND(_xlfn.XLOOKUP($K$14,$B$3:$B$8,I$3:I$8,"",0,1),0)</f>
        <v>132</v>
      </c>
      <c r="P11" s="7">
        <f t="shared" si="5"/>
        <v>58</v>
      </c>
      <c r="R11" s="17" t="str">
        <f>"Recommended local hires for " &amp;$L$14&amp;" " &amp;$K$14 &amp; " projects in " &amp; $M$14 &amp; ":"</f>
        <v>Recommended local hires for Standard Hurricane projects in March:</v>
      </c>
      <c r="S11" s="19">
        <f>_xlfn.XLOOKUP($L$14,N13:P13,N18:P18,"",0,1)</f>
        <v>4</v>
      </c>
    </row>
    <row r="12" spans="1:19" ht="15.75" thickBot="1">
      <c r="B12" t="s">
        <v>21</v>
      </c>
      <c r="C12" s="3" t="s">
        <v>5</v>
      </c>
      <c r="D12" s="3" t="s">
        <v>6</v>
      </c>
      <c r="E12" s="3" t="s">
        <v>7</v>
      </c>
      <c r="F12" s="3" t="s">
        <v>22</v>
      </c>
      <c r="G12" s="3" t="s">
        <v>23</v>
      </c>
      <c r="J12" s="97" t="s">
        <v>24</v>
      </c>
      <c r="K12" s="98"/>
      <c r="L12" s="99"/>
      <c r="M12" s="2"/>
      <c r="N12" s="101" t="s">
        <v>25</v>
      </c>
      <c r="O12" s="101"/>
      <c r="P12" s="101"/>
    </row>
    <row r="13" spans="1:19" ht="15">
      <c r="A13">
        <v>1</v>
      </c>
      <c r="B13" t="s">
        <v>26</v>
      </c>
      <c r="C13" s="1">
        <v>145.08148148148149</v>
      </c>
      <c r="D13" s="1">
        <v>103.3</v>
      </c>
      <c r="E13" s="1">
        <v>43.155555555555559</v>
      </c>
      <c r="F13" s="1">
        <f>SUM(C13:E13)</f>
        <v>291.53703703703707</v>
      </c>
      <c r="G13" s="4">
        <f>($F13/$C$42)</f>
        <v>0.79654928152195925</v>
      </c>
      <c r="J13" s="8" t="s">
        <v>27</v>
      </c>
      <c r="K13" s="9" t="s">
        <v>28</v>
      </c>
      <c r="L13" s="10" t="s">
        <v>29</v>
      </c>
      <c r="M13" s="11" t="s">
        <v>30</v>
      </c>
      <c r="N13" s="12" t="s">
        <v>31</v>
      </c>
      <c r="O13" s="12" t="s">
        <v>6</v>
      </c>
      <c r="P13" s="12" t="s">
        <v>7</v>
      </c>
    </row>
    <row r="14" spans="1:19" ht="15" thickBot="1">
      <c r="A14">
        <v>2</v>
      </c>
      <c r="B14" t="s">
        <v>32</v>
      </c>
      <c r="C14" s="1">
        <v>138.4</v>
      </c>
      <c r="D14" s="1">
        <v>96.9</v>
      </c>
      <c r="E14" s="1">
        <v>55.288888888888891</v>
      </c>
      <c r="F14" s="1">
        <f t="shared" ref="F14:F24" si="6">SUM(C14:E14)</f>
        <v>290.5888888888889</v>
      </c>
      <c r="G14" s="4">
        <f t="shared" ref="G14:G24" si="7">($F14/$C$42)</f>
        <v>0.79395871281117192</v>
      </c>
      <c r="J14" s="30" t="s">
        <v>33</v>
      </c>
      <c r="K14" s="5" t="s">
        <v>11</v>
      </c>
      <c r="L14" s="6" t="s">
        <v>5</v>
      </c>
      <c r="M14" s="13" t="str">
        <f>_xlfn.XLOOKUP(ROUND(_xlfn.XLOOKUP(J14,B13:B24,A13:A24,"",0,1)+_xlfn.XLOOKUP(K14,B3:B8,D3:D8,"",0,1),0),A13:A36,B13:B36,"",0,1)</f>
        <v>March</v>
      </c>
      <c r="N14" s="7">
        <f>ROUND(_xlfn.XLOOKUP($K$14,$B$3:$B$8,H$3:H$8,"",0,1)-_xlfn.XLOOKUP($M$14,$B$13:$B$24,C$13:C$24,"",0,1),0)</f>
        <v>40</v>
      </c>
      <c r="O14" s="7">
        <f t="shared" ref="O14:P14" si="8">ROUND(_xlfn.XLOOKUP($K$14,$B$3:$B$8,I$3:I$8,"",0,1)-_xlfn.XLOOKUP($M$14,$B$13:$B$24,D$13:D$24,"",0,1),0)</f>
        <v>47</v>
      </c>
      <c r="P14" s="7">
        <f t="shared" si="8"/>
        <v>8</v>
      </c>
    </row>
    <row r="15" spans="1:19" ht="15">
      <c r="A15">
        <v>3</v>
      </c>
      <c r="B15" t="s">
        <v>34</v>
      </c>
      <c r="C15" s="1">
        <v>138.80000000000001</v>
      </c>
      <c r="D15" s="1">
        <v>84.7</v>
      </c>
      <c r="E15" s="1">
        <v>50.411111111111111</v>
      </c>
      <c r="F15" s="1">
        <f t="shared" si="6"/>
        <v>273.9111111111111</v>
      </c>
      <c r="G15" s="4">
        <f t="shared" si="7"/>
        <v>0.74839101396478447</v>
      </c>
      <c r="N15" s="96" t="s">
        <v>35</v>
      </c>
      <c r="O15" s="96"/>
      <c r="P15" s="96"/>
    </row>
    <row r="16" spans="1:19" ht="15">
      <c r="A16">
        <v>4</v>
      </c>
      <c r="B16" t="s">
        <v>36</v>
      </c>
      <c r="C16" s="1">
        <v>134.5</v>
      </c>
      <c r="D16" s="1">
        <v>74.8</v>
      </c>
      <c r="E16" s="1">
        <v>71.288888888888891</v>
      </c>
      <c r="F16" s="1">
        <f t="shared" si="6"/>
        <v>280.5888888888889</v>
      </c>
      <c r="G16" s="4">
        <f t="shared" si="7"/>
        <v>0.76663630843958719</v>
      </c>
      <c r="M16" s="12" t="s">
        <v>37</v>
      </c>
      <c r="N16" s="7">
        <f>ROUND(D$39*$N$14,0)</f>
        <v>22</v>
      </c>
      <c r="O16" s="7">
        <f>ROUND(D$40*$O$14,0)</f>
        <v>25</v>
      </c>
      <c r="P16" s="7">
        <f>ROUND(D$41*$P$14,0)</f>
        <v>5</v>
      </c>
    </row>
    <row r="17" spans="1:16" ht="15">
      <c r="A17">
        <v>5</v>
      </c>
      <c r="B17" t="s">
        <v>38</v>
      </c>
      <c r="C17" s="1">
        <v>126.7</v>
      </c>
      <c r="D17" s="1">
        <v>74.900000000000006</v>
      </c>
      <c r="E17" s="1">
        <v>57.655555555555559</v>
      </c>
      <c r="F17" s="1">
        <f t="shared" si="6"/>
        <v>259.25555555555559</v>
      </c>
      <c r="G17" s="4">
        <f t="shared" si="7"/>
        <v>0.70834851244687325</v>
      </c>
      <c r="M17" s="12" t="s">
        <v>39</v>
      </c>
      <c r="N17" s="7">
        <f>ROUND(E$39*$N$14,0)</f>
        <v>14</v>
      </c>
      <c r="O17" s="7">
        <f>ROUND(E$40*$O$14,0)</f>
        <v>20</v>
      </c>
      <c r="P17" s="7">
        <f>ROUND(E$41*$P$14,0)</f>
        <v>3</v>
      </c>
    </row>
    <row r="18" spans="1:16" ht="15">
      <c r="A18">
        <v>6</v>
      </c>
      <c r="B18" t="s">
        <v>40</v>
      </c>
      <c r="C18" s="1">
        <v>116.1</v>
      </c>
      <c r="D18" s="1">
        <v>66.7</v>
      </c>
      <c r="E18" s="1">
        <v>52.166666666666664</v>
      </c>
      <c r="F18" s="1">
        <f t="shared" si="6"/>
        <v>234.96666666666667</v>
      </c>
      <c r="G18" s="4">
        <f t="shared" si="7"/>
        <v>0.64198542805100178</v>
      </c>
      <c r="M18" s="12" t="s">
        <v>41</v>
      </c>
      <c r="N18" s="7">
        <f>ROUND(F$39*$N$14,0)</f>
        <v>4</v>
      </c>
      <c r="O18" s="7">
        <f>ROUND(F$40*$O$14,0)</f>
        <v>2</v>
      </c>
      <c r="P18" s="7">
        <f>ROUND(F$41*$P$14,0)</f>
        <v>0</v>
      </c>
    </row>
    <row r="19" spans="1:16">
      <c r="A19">
        <v>7</v>
      </c>
      <c r="B19" t="s">
        <v>42</v>
      </c>
      <c r="C19" s="1">
        <v>101</v>
      </c>
      <c r="D19" s="1">
        <v>69.111111111111114</v>
      </c>
      <c r="E19" s="1">
        <v>37.833333333333336</v>
      </c>
      <c r="F19" s="1">
        <f t="shared" si="6"/>
        <v>207.94444444444446</v>
      </c>
      <c r="G19" s="4">
        <f t="shared" si="7"/>
        <v>0.56815421979356406</v>
      </c>
    </row>
    <row r="20" spans="1:16">
      <c r="A20">
        <v>8</v>
      </c>
      <c r="B20" t="s">
        <v>43</v>
      </c>
      <c r="C20" s="1">
        <v>99.9</v>
      </c>
      <c r="D20" s="1">
        <v>78.333333333333343</v>
      </c>
      <c r="E20" s="1">
        <v>45</v>
      </c>
      <c r="F20" s="1">
        <f t="shared" si="6"/>
        <v>223.23333333333335</v>
      </c>
      <c r="G20" s="4">
        <f t="shared" si="7"/>
        <v>0.60992714025500916</v>
      </c>
    </row>
    <row r="21" spans="1:16">
      <c r="A21">
        <v>9</v>
      </c>
      <c r="B21" t="s">
        <v>44</v>
      </c>
      <c r="C21" s="1">
        <v>100</v>
      </c>
      <c r="D21" s="1">
        <v>91.611111111111114</v>
      </c>
      <c r="E21" s="1">
        <v>34.87777777777778</v>
      </c>
      <c r="F21" s="1">
        <f t="shared" si="6"/>
        <v>226.48888888888888</v>
      </c>
      <c r="G21" s="4">
        <f t="shared" si="7"/>
        <v>0.61882210078931388</v>
      </c>
    </row>
    <row r="22" spans="1:16">
      <c r="A22">
        <v>10</v>
      </c>
      <c r="B22" t="s">
        <v>45</v>
      </c>
      <c r="C22" s="1">
        <v>97.2</v>
      </c>
      <c r="D22" s="1">
        <v>80</v>
      </c>
      <c r="E22" s="1">
        <v>26.444444444444443</v>
      </c>
      <c r="F22" s="1">
        <f t="shared" si="6"/>
        <v>203.64444444444445</v>
      </c>
      <c r="G22" s="4">
        <f t="shared" si="7"/>
        <v>0.55640558591378264</v>
      </c>
    </row>
    <row r="23" spans="1:16">
      <c r="A23">
        <v>11</v>
      </c>
      <c r="B23" t="s">
        <v>46</v>
      </c>
      <c r="C23" s="1">
        <v>101.3</v>
      </c>
      <c r="D23" s="1">
        <v>75.166666666666657</v>
      </c>
      <c r="E23" s="1">
        <v>29.144444444444446</v>
      </c>
      <c r="F23" s="1">
        <f t="shared" si="6"/>
        <v>205.61111111111109</v>
      </c>
      <c r="G23" s="4">
        <f t="shared" si="7"/>
        <v>0.56177899210686089</v>
      </c>
    </row>
    <row r="24" spans="1:16">
      <c r="A24">
        <v>12</v>
      </c>
      <c r="B24" t="s">
        <v>33</v>
      </c>
      <c r="C24" s="1">
        <v>96.9</v>
      </c>
      <c r="D24" s="1">
        <v>66</v>
      </c>
      <c r="E24" s="1">
        <v>26.022222222222222</v>
      </c>
      <c r="F24" s="1">
        <f t="shared" si="6"/>
        <v>188.92222222222222</v>
      </c>
      <c r="G24" s="4">
        <f t="shared" si="7"/>
        <v>0.51618093503339402</v>
      </c>
    </row>
    <row r="25" spans="1:16">
      <c r="A25">
        <v>13</v>
      </c>
      <c r="B25" t="s">
        <v>26</v>
      </c>
      <c r="C25" s="1"/>
      <c r="D25" s="1"/>
      <c r="E25" s="1"/>
      <c r="F25" s="1"/>
      <c r="G25" s="4"/>
    </row>
    <row r="26" spans="1:16">
      <c r="A26">
        <v>14</v>
      </c>
      <c r="B26" t="s">
        <v>32</v>
      </c>
      <c r="C26" s="1"/>
      <c r="D26" s="1"/>
      <c r="E26" s="1"/>
      <c r="F26" s="1"/>
      <c r="G26" s="4"/>
    </row>
    <row r="27" spans="1:16">
      <c r="A27">
        <v>15</v>
      </c>
      <c r="B27" t="s">
        <v>34</v>
      </c>
      <c r="C27" s="1"/>
      <c r="D27" s="1"/>
      <c r="E27" s="1"/>
      <c r="F27" s="1"/>
      <c r="G27" s="4"/>
    </row>
    <row r="28" spans="1:16">
      <c r="A28">
        <v>16</v>
      </c>
      <c r="B28" t="s">
        <v>36</v>
      </c>
      <c r="C28" s="1"/>
      <c r="D28" s="1"/>
      <c r="E28" s="1"/>
      <c r="F28" s="1"/>
      <c r="G28" s="4"/>
    </row>
    <row r="29" spans="1:16">
      <c r="A29">
        <v>17</v>
      </c>
      <c r="B29" t="s">
        <v>38</v>
      </c>
      <c r="C29" s="1"/>
      <c r="D29" s="1"/>
      <c r="E29" s="1"/>
      <c r="F29" s="1"/>
      <c r="G29" s="4"/>
      <c r="I29" s="31" t="s">
        <v>47</v>
      </c>
      <c r="J29" s="31" t="s">
        <v>48</v>
      </c>
      <c r="K29" s="31" t="s">
        <v>49</v>
      </c>
      <c r="L29" s="31" t="s">
        <v>50</v>
      </c>
      <c r="M29" s="31" t="s">
        <v>51</v>
      </c>
      <c r="N29" s="31" t="s">
        <v>52</v>
      </c>
    </row>
    <row r="30" spans="1:16">
      <c r="A30">
        <v>18</v>
      </c>
      <c r="B30" t="s">
        <v>40</v>
      </c>
      <c r="C30" s="1"/>
      <c r="D30" s="1"/>
      <c r="E30" s="1"/>
      <c r="F30" s="1"/>
      <c r="G30" s="4"/>
      <c r="I30" s="31" t="s">
        <v>53</v>
      </c>
      <c r="J30" s="42">
        <v>0.11799999999999999</v>
      </c>
      <c r="K30" s="40">
        <f>'Final tool (trial)'!F4</f>
        <v>3850000</v>
      </c>
      <c r="M30" s="39">
        <f>'Final tool (trial)'!C5</f>
        <v>8.5000000000000006E-2</v>
      </c>
      <c r="N30" s="39">
        <v>0.02</v>
      </c>
    </row>
    <row r="31" spans="1:16">
      <c r="A31">
        <v>19</v>
      </c>
      <c r="B31" t="s">
        <v>42</v>
      </c>
      <c r="C31" s="1"/>
      <c r="D31" s="1"/>
      <c r="E31" s="1"/>
      <c r="F31" s="1"/>
      <c r="G31" s="4"/>
      <c r="I31" s="31" t="s">
        <v>54</v>
      </c>
      <c r="J31" s="39">
        <v>0.13</v>
      </c>
    </row>
    <row r="32" spans="1:16">
      <c r="A32">
        <v>20</v>
      </c>
      <c r="B32" s="31" t="s">
        <v>55</v>
      </c>
      <c r="C32" s="1"/>
      <c r="D32" s="1"/>
      <c r="E32" s="1"/>
      <c r="F32" s="1"/>
      <c r="G32" s="4"/>
      <c r="I32" s="31" t="s">
        <v>56</v>
      </c>
      <c r="J32" s="39">
        <v>0.16</v>
      </c>
    </row>
    <row r="33" spans="1:14">
      <c r="A33">
        <v>21</v>
      </c>
      <c r="B33" t="s">
        <v>44</v>
      </c>
      <c r="C33" s="1"/>
      <c r="D33" s="1"/>
      <c r="E33" s="1"/>
      <c r="F33" s="1"/>
      <c r="G33" s="4"/>
      <c r="I33" s="31" t="s">
        <v>18</v>
      </c>
      <c r="J33" s="39">
        <v>0.1</v>
      </c>
    </row>
    <row r="34" spans="1:14">
      <c r="A34">
        <v>22</v>
      </c>
      <c r="B34" t="s">
        <v>45</v>
      </c>
      <c r="C34" s="1"/>
      <c r="D34" s="1"/>
      <c r="E34" s="1"/>
      <c r="F34" s="1"/>
      <c r="G34" s="4"/>
    </row>
    <row r="35" spans="1:14">
      <c r="A35">
        <v>23</v>
      </c>
      <c r="B35" t="s">
        <v>46</v>
      </c>
      <c r="C35" s="1"/>
      <c r="D35" s="1"/>
      <c r="E35" s="1"/>
      <c r="F35" s="1"/>
      <c r="G35" s="4"/>
    </row>
    <row r="36" spans="1:14" ht="15">
      <c r="A36">
        <v>24</v>
      </c>
      <c r="B36" t="s">
        <v>33</v>
      </c>
      <c r="C36" s="1"/>
      <c r="D36" s="1"/>
      <c r="E36" s="1"/>
      <c r="F36" s="1"/>
      <c r="G36" s="4"/>
      <c r="I36" s="94" t="s">
        <v>57</v>
      </c>
      <c r="J36" s="95"/>
      <c r="K36" s="95"/>
      <c r="L36" s="95"/>
      <c r="M36" s="95"/>
    </row>
    <row r="37" spans="1:14" ht="15">
      <c r="C37" s="1"/>
      <c r="I37" s="8" t="s">
        <v>27</v>
      </c>
      <c r="J37" s="9" t="s">
        <v>58</v>
      </c>
      <c r="K37" s="10" t="s">
        <v>59</v>
      </c>
      <c r="L37" s="35" t="s">
        <v>60</v>
      </c>
      <c r="M37" s="34" t="s">
        <v>61</v>
      </c>
    </row>
    <row r="38" spans="1:14" ht="15" thickBot="1">
      <c r="B38" t="s">
        <v>62</v>
      </c>
      <c r="C38" t="s">
        <v>63</v>
      </c>
      <c r="D38" t="s">
        <v>64</v>
      </c>
      <c r="E38" t="s">
        <v>65</v>
      </c>
      <c r="F38" t="s">
        <v>66</v>
      </c>
      <c r="I38" s="30" t="str">
        <f>'Final tool (trial)'!A55</f>
        <v>Biotech Industry</v>
      </c>
      <c r="J38" s="33">
        <f>'Final tool (trial)'!C4</f>
        <v>5</v>
      </c>
      <c r="K38" s="46">
        <f>'Final tool (trial)'!C3</f>
        <v>1000000</v>
      </c>
      <c r="L38" s="47">
        <v>10</v>
      </c>
      <c r="M38" s="32">
        <f>NPV($M$30,C50:L50)+B50</f>
        <v>1029815.1883691032</v>
      </c>
    </row>
    <row r="39" spans="1:14">
      <c r="B39" t="s">
        <v>5</v>
      </c>
      <c r="C39">
        <v>168</v>
      </c>
      <c r="D39">
        <v>0.56000000000000005</v>
      </c>
      <c r="E39">
        <v>0.35</v>
      </c>
      <c r="F39">
        <v>0.09</v>
      </c>
    </row>
    <row r="40" spans="1:14">
      <c r="B40" t="s">
        <v>6</v>
      </c>
      <c r="C40">
        <v>152</v>
      </c>
      <c r="D40">
        <v>0.53</v>
      </c>
      <c r="E40">
        <v>0.42</v>
      </c>
      <c r="F40">
        <v>0.05</v>
      </c>
    </row>
    <row r="41" spans="1:14" ht="15">
      <c r="B41" t="s">
        <v>7</v>
      </c>
      <c r="C41">
        <v>46</v>
      </c>
      <c r="D41">
        <v>0.63</v>
      </c>
      <c r="E41">
        <v>0.32</v>
      </c>
      <c r="F41">
        <v>0.05</v>
      </c>
      <c r="I41" s="94" t="s">
        <v>67</v>
      </c>
      <c r="J41" s="95"/>
      <c r="K41" s="95"/>
      <c r="L41" s="95"/>
      <c r="M41" s="95"/>
      <c r="N41" s="95"/>
    </row>
    <row r="42" spans="1:14" ht="15">
      <c r="B42" t="s">
        <v>68</v>
      </c>
      <c r="C42">
        <f>SUM(C39:C41)</f>
        <v>366</v>
      </c>
      <c r="I42" s="48" t="s">
        <v>27</v>
      </c>
      <c r="J42" s="49" t="s">
        <v>69</v>
      </c>
      <c r="K42" s="49" t="s">
        <v>70</v>
      </c>
      <c r="L42" s="35" t="s">
        <v>71</v>
      </c>
      <c r="M42" s="35" t="s">
        <v>72</v>
      </c>
      <c r="N42" s="35" t="s">
        <v>61</v>
      </c>
    </row>
    <row r="43" spans="1:14" ht="15" thickBot="1">
      <c r="I43" s="30" t="str">
        <f>I38</f>
        <v>Biotech Industry</v>
      </c>
      <c r="J43" s="33">
        <f>'Final tool (trial)'!B60</f>
        <v>6</v>
      </c>
      <c r="K43" s="36">
        <f>(J43-J38)/J38</f>
        <v>0.2</v>
      </c>
      <c r="L43" s="46">
        <f>'Final tool (trial)'!D60</f>
        <v>1300000</v>
      </c>
      <c r="M43" s="50">
        <f>(L43-K38)/K38</f>
        <v>0.3</v>
      </c>
      <c r="N43" s="46">
        <f>NPV($M$30,C56:N56)+B56</f>
        <v>33894.379434796108</v>
      </c>
    </row>
    <row r="45" spans="1:14">
      <c r="I45" s="31"/>
      <c r="J45" s="31"/>
    </row>
    <row r="46" spans="1:14">
      <c r="I46" s="39"/>
    </row>
    <row r="47" spans="1:14" ht="15">
      <c r="A47" s="31" t="s">
        <v>73</v>
      </c>
      <c r="B47" s="41">
        <v>0</v>
      </c>
      <c r="C47" s="41">
        <v>1</v>
      </c>
      <c r="D47" s="41">
        <v>2</v>
      </c>
      <c r="E47" s="41">
        <v>3</v>
      </c>
      <c r="F47" s="41">
        <v>4</v>
      </c>
      <c r="G47" s="41">
        <v>5</v>
      </c>
      <c r="H47" s="41">
        <v>6</v>
      </c>
      <c r="I47" s="41">
        <v>7</v>
      </c>
      <c r="J47" s="41">
        <v>8</v>
      </c>
      <c r="K47" s="41">
        <v>9</v>
      </c>
      <c r="L47" s="41">
        <v>10</v>
      </c>
      <c r="M47" s="41">
        <v>11</v>
      </c>
      <c r="N47" s="41">
        <v>12</v>
      </c>
    </row>
    <row r="48" spans="1:14">
      <c r="A48" s="31" t="s">
        <v>74</v>
      </c>
      <c r="B48" s="40">
        <f>IF(B47&lt;($J$38+1),-$K$38/$J$38,0)</f>
        <v>-200000</v>
      </c>
      <c r="C48" s="40">
        <f t="shared" ref="C48:K48" si="9">IF(C47&lt;($J$38+1),-$K$38/$J$38,0)</f>
        <v>-200000</v>
      </c>
      <c r="D48" s="40">
        <f t="shared" si="9"/>
        <v>-200000</v>
      </c>
      <c r="E48" s="40">
        <f t="shared" si="9"/>
        <v>-200000</v>
      </c>
      <c r="F48" s="40">
        <f t="shared" si="9"/>
        <v>-200000</v>
      </c>
      <c r="G48" s="40">
        <f t="shared" si="9"/>
        <v>-200000</v>
      </c>
      <c r="H48" s="40">
        <f t="shared" si="9"/>
        <v>0</v>
      </c>
      <c r="I48" s="40">
        <f t="shared" si="9"/>
        <v>0</v>
      </c>
      <c r="J48" s="40">
        <f t="shared" si="9"/>
        <v>0</v>
      </c>
      <c r="K48" s="40">
        <f t="shared" si="9"/>
        <v>0</v>
      </c>
      <c r="L48" s="40">
        <f>IF(L47&lt;($J$38+1),-$K$38/$J$38,0)</f>
        <v>0</v>
      </c>
      <c r="M48" s="40">
        <f t="shared" ref="M48:N48" si="10">IF(M47&lt;($J$38+1),-$K$38/$J$38,0)</f>
        <v>0</v>
      </c>
      <c r="N48" s="40">
        <f t="shared" si="10"/>
        <v>0</v>
      </c>
    </row>
    <row r="49" spans="1:27">
      <c r="A49" s="31" t="s">
        <v>75</v>
      </c>
      <c r="B49" s="40">
        <f>IF(B47&gt;$J$38,IF(B47&lt;=$J$38+5,$K$30/5,0),0)</f>
        <v>0</v>
      </c>
      <c r="C49" s="40">
        <f t="shared" ref="C49:N49" si="11">IF(C47&gt;$J$38,IF(C47&lt;=$J$38+5,$K$30/5,0),0)</f>
        <v>0</v>
      </c>
      <c r="D49" s="40">
        <f t="shared" si="11"/>
        <v>0</v>
      </c>
      <c r="E49" s="40">
        <f t="shared" si="11"/>
        <v>0</v>
      </c>
      <c r="F49" s="40">
        <f t="shared" si="11"/>
        <v>0</v>
      </c>
      <c r="G49" s="40">
        <f t="shared" si="11"/>
        <v>0</v>
      </c>
      <c r="H49" s="40">
        <f t="shared" si="11"/>
        <v>770000</v>
      </c>
      <c r="I49" s="40">
        <f t="shared" si="11"/>
        <v>770000</v>
      </c>
      <c r="J49" s="40">
        <f t="shared" si="11"/>
        <v>770000</v>
      </c>
      <c r="K49" s="40">
        <f t="shared" si="11"/>
        <v>770000</v>
      </c>
      <c r="L49" s="40">
        <f t="shared" si="11"/>
        <v>770000</v>
      </c>
      <c r="M49" s="40">
        <f t="shared" si="11"/>
        <v>0</v>
      </c>
      <c r="N49" s="40">
        <f t="shared" si="11"/>
        <v>0</v>
      </c>
    </row>
    <row r="50" spans="1:27">
      <c r="A50" s="31" t="s">
        <v>76</v>
      </c>
      <c r="B50" s="40">
        <f>SUM(B48:B49)</f>
        <v>-200000</v>
      </c>
      <c r="C50" s="40">
        <f t="shared" ref="C50:N50" si="12">SUM(C48:C49)</f>
        <v>-200000</v>
      </c>
      <c r="D50" s="40">
        <f t="shared" si="12"/>
        <v>-200000</v>
      </c>
      <c r="E50" s="40">
        <f t="shared" si="12"/>
        <v>-200000</v>
      </c>
      <c r="F50" s="40">
        <f t="shared" si="12"/>
        <v>-200000</v>
      </c>
      <c r="G50" s="40">
        <f t="shared" si="12"/>
        <v>-200000</v>
      </c>
      <c r="H50" s="40">
        <f t="shared" si="12"/>
        <v>770000</v>
      </c>
      <c r="I50" s="40">
        <f>SUM(I48:I49)</f>
        <v>770000</v>
      </c>
      <c r="J50" s="40">
        <f t="shared" si="12"/>
        <v>770000</v>
      </c>
      <c r="K50" s="40">
        <f t="shared" si="12"/>
        <v>770000</v>
      </c>
      <c r="L50" s="40">
        <f t="shared" si="12"/>
        <v>770000</v>
      </c>
      <c r="M50" s="40">
        <f t="shared" si="12"/>
        <v>0</v>
      </c>
      <c r="N50" s="40">
        <f t="shared" si="12"/>
        <v>0</v>
      </c>
    </row>
    <row r="51" spans="1:27">
      <c r="I51" s="39"/>
    </row>
    <row r="52" spans="1:27">
      <c r="I52" s="39"/>
    </row>
    <row r="53" spans="1:27" ht="15">
      <c r="A53" s="31" t="s">
        <v>77</v>
      </c>
      <c r="B53" s="41">
        <v>0</v>
      </c>
      <c r="C53" s="41">
        <v>1</v>
      </c>
      <c r="D53" s="41">
        <v>2</v>
      </c>
      <c r="E53" s="41">
        <v>3</v>
      </c>
      <c r="F53" s="41">
        <v>4</v>
      </c>
      <c r="G53" s="41">
        <v>5</v>
      </c>
      <c r="H53" s="41">
        <v>6</v>
      </c>
      <c r="I53" s="41">
        <v>7</v>
      </c>
      <c r="J53" s="41">
        <v>8</v>
      </c>
      <c r="K53" s="41">
        <v>9</v>
      </c>
      <c r="L53" s="41">
        <v>10</v>
      </c>
      <c r="M53" s="41">
        <v>11</v>
      </c>
      <c r="N53" s="41">
        <v>12</v>
      </c>
      <c r="O53" s="41"/>
      <c r="P53" s="41"/>
      <c r="Q53" s="41"/>
      <c r="R53" s="41"/>
      <c r="S53" s="41"/>
    </row>
    <row r="54" spans="1:27">
      <c r="A54" s="31" t="s">
        <v>74</v>
      </c>
      <c r="B54" s="40">
        <f>IF(B53&lt;($J$43+1),-$L$43/$J$43,0)</f>
        <v>-216666.66666666666</v>
      </c>
      <c r="C54" s="40">
        <f t="shared" ref="C54:N54" si="13">IF(C53&lt;($J$43+1),-$L$43/$J$43,0)</f>
        <v>-216666.66666666666</v>
      </c>
      <c r="D54" s="40">
        <f>IF(D53&lt;($J$43+1),-$L$43/$J$43,0)</f>
        <v>-216666.66666666666</v>
      </c>
      <c r="E54" s="40">
        <f t="shared" si="13"/>
        <v>-216666.66666666666</v>
      </c>
      <c r="F54" s="40">
        <f t="shared" si="13"/>
        <v>-216666.66666666666</v>
      </c>
      <c r="G54" s="40">
        <f t="shared" si="13"/>
        <v>-216666.66666666666</v>
      </c>
      <c r="H54" s="40">
        <f t="shared" si="13"/>
        <v>-216666.66666666666</v>
      </c>
      <c r="I54" s="40">
        <f t="shared" si="13"/>
        <v>0</v>
      </c>
      <c r="J54" s="40">
        <f t="shared" si="13"/>
        <v>0</v>
      </c>
      <c r="K54" s="40">
        <f t="shared" si="13"/>
        <v>0</v>
      </c>
      <c r="L54" s="40">
        <f t="shared" si="13"/>
        <v>0</v>
      </c>
      <c r="M54" s="40">
        <f t="shared" si="13"/>
        <v>0</v>
      </c>
      <c r="N54" s="40">
        <f t="shared" si="13"/>
        <v>0</v>
      </c>
      <c r="O54" s="40"/>
      <c r="P54" s="40"/>
      <c r="Q54" s="40"/>
      <c r="R54" s="40"/>
    </row>
    <row r="55" spans="1:27">
      <c r="A55" s="31" t="s">
        <v>75</v>
      </c>
      <c r="B55">
        <f>IF(($J$43-B53)&lt;0,IF(B53&lt;=$J$43+5,VLOOKUP((B53-$J$43),$A$61:$B$70,2,FALSE),0),0)</f>
        <v>0</v>
      </c>
      <c r="C55">
        <f t="shared" ref="C55:N55" si="14">IF(($J$43-C53)&lt;0,IF(C53&lt;=$J$43+5,VLOOKUP((C53-$J$43),$A$61:$B$70,2,FALSE),0),0)</f>
        <v>0</v>
      </c>
      <c r="D55">
        <f t="shared" si="14"/>
        <v>0</v>
      </c>
      <c r="E55">
        <f t="shared" si="14"/>
        <v>0</v>
      </c>
      <c r="F55">
        <f t="shared" si="14"/>
        <v>0</v>
      </c>
      <c r="G55">
        <f t="shared" si="14"/>
        <v>0</v>
      </c>
      <c r="H55">
        <f t="shared" si="14"/>
        <v>0</v>
      </c>
      <c r="I55">
        <f t="shared" si="14"/>
        <v>679140</v>
      </c>
      <c r="J55">
        <f t="shared" si="14"/>
        <v>588280</v>
      </c>
      <c r="K55">
        <f t="shared" si="14"/>
        <v>497420</v>
      </c>
      <c r="L55">
        <f>IF(($J$43-L53)&lt;0,IF(L53&lt;=$J$43+5,VLOOKUP((L53-$J$43),$A$61:$B$70,2,FALSE),0),0)</f>
        <v>406560</v>
      </c>
      <c r="M55">
        <f t="shared" si="14"/>
        <v>315700</v>
      </c>
      <c r="N55">
        <f t="shared" si="14"/>
        <v>0</v>
      </c>
      <c r="O55" s="40"/>
      <c r="P55" s="40"/>
      <c r="Q55" s="40"/>
      <c r="R55" s="40"/>
    </row>
    <row r="56" spans="1:27">
      <c r="A56" s="31" t="s">
        <v>76</v>
      </c>
      <c r="B56" s="40">
        <f>SUM(B54:B55)</f>
        <v>-216666.66666666666</v>
      </c>
      <c r="C56" s="40">
        <f t="shared" ref="C56:H56" si="15">SUM(C54:C55)</f>
        <v>-216666.66666666666</v>
      </c>
      <c r="D56" s="40">
        <f t="shared" si="15"/>
        <v>-216666.66666666666</v>
      </c>
      <c r="E56" s="40">
        <f t="shared" si="15"/>
        <v>-216666.66666666666</v>
      </c>
      <c r="F56" s="40">
        <f t="shared" si="15"/>
        <v>-216666.66666666666</v>
      </c>
      <c r="G56" s="40">
        <f t="shared" si="15"/>
        <v>-216666.66666666666</v>
      </c>
      <c r="H56" s="40">
        <f t="shared" si="15"/>
        <v>-216666.66666666666</v>
      </c>
      <c r="I56" s="40">
        <f>SUM(I54:I55)</f>
        <v>679140</v>
      </c>
      <c r="J56" s="40">
        <f t="shared" ref="J56:N56" si="16">SUM(J54:J55)</f>
        <v>588280</v>
      </c>
      <c r="K56" s="40">
        <f t="shared" si="16"/>
        <v>497420</v>
      </c>
      <c r="L56" s="40">
        <f t="shared" si="16"/>
        <v>406560</v>
      </c>
      <c r="M56" s="40">
        <f t="shared" si="16"/>
        <v>315700</v>
      </c>
      <c r="N56" s="40">
        <f t="shared" si="16"/>
        <v>0</v>
      </c>
      <c r="O56" s="40"/>
      <c r="P56" s="40"/>
      <c r="Q56" s="40"/>
      <c r="R56" s="40"/>
    </row>
    <row r="58" spans="1:27">
      <c r="J58" s="40"/>
      <c r="K58" s="40"/>
      <c r="L58" s="40"/>
      <c r="M58" s="40"/>
      <c r="N58" s="40"/>
      <c r="O58" s="40"/>
      <c r="P58" s="40"/>
      <c r="Q58" s="40"/>
      <c r="R58" s="40"/>
    </row>
    <row r="59" spans="1:27">
      <c r="F59">
        <v>1</v>
      </c>
      <c r="G59">
        <v>2</v>
      </c>
      <c r="H59">
        <v>3</v>
      </c>
      <c r="I59">
        <v>4</v>
      </c>
      <c r="J59">
        <v>5</v>
      </c>
      <c r="K59">
        <v>6</v>
      </c>
      <c r="L59">
        <v>7</v>
      </c>
      <c r="M59">
        <v>8</v>
      </c>
      <c r="N59">
        <v>9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17</v>
      </c>
      <c r="W59">
        <v>18</v>
      </c>
      <c r="X59">
        <v>19</v>
      </c>
      <c r="Y59">
        <v>20</v>
      </c>
      <c r="Z59">
        <v>21</v>
      </c>
      <c r="AA59">
        <v>22</v>
      </c>
    </row>
    <row r="60" spans="1:27" ht="15">
      <c r="G60" s="59">
        <v>0</v>
      </c>
      <c r="H60" s="59">
        <v>0.05</v>
      </c>
      <c r="I60" s="59">
        <v>0.1</v>
      </c>
      <c r="J60" s="59">
        <v>0.15</v>
      </c>
      <c r="K60" s="59">
        <v>0.2</v>
      </c>
      <c r="L60" s="59">
        <v>0.25</v>
      </c>
      <c r="M60" s="59">
        <v>0.3</v>
      </c>
      <c r="N60" s="59">
        <v>0.35</v>
      </c>
      <c r="O60" s="59">
        <v>0.4</v>
      </c>
      <c r="P60" s="59">
        <v>0.45</v>
      </c>
      <c r="Q60" s="59">
        <v>0.5</v>
      </c>
      <c r="R60" s="59">
        <v>0.55000000000000004</v>
      </c>
      <c r="S60" s="59">
        <v>0.6</v>
      </c>
      <c r="T60" s="59">
        <v>0.65</v>
      </c>
      <c r="U60" s="59">
        <v>0.7</v>
      </c>
      <c r="V60" s="59">
        <v>0.75</v>
      </c>
      <c r="W60" s="59">
        <v>0.8</v>
      </c>
      <c r="X60" s="59">
        <v>0.85</v>
      </c>
      <c r="Y60" s="59">
        <v>0.9</v>
      </c>
      <c r="Z60" s="59">
        <v>0.95</v>
      </c>
      <c r="AA60" s="59">
        <v>1</v>
      </c>
    </row>
    <row r="61" spans="1:27" ht="15">
      <c r="A61" s="43" t="s">
        <v>78</v>
      </c>
      <c r="B61" s="44" t="str">
        <f>I43</f>
        <v>Biotech Industry</v>
      </c>
      <c r="E61" s="31" t="str">
        <f>I43</f>
        <v>Biotech Industry</v>
      </c>
      <c r="F61" s="58">
        <f>N43</f>
        <v>33894.379434796108</v>
      </c>
      <c r="G61" s="57">
        <f>$K$38*(1+G60)</f>
        <v>1000000</v>
      </c>
      <c r="H61">
        <f t="shared" ref="H61:AA61" si="17">$K$38*(1+H60)</f>
        <v>1050000</v>
      </c>
      <c r="I61">
        <f t="shared" si="17"/>
        <v>1100000</v>
      </c>
      <c r="J61">
        <f t="shared" si="17"/>
        <v>1150000</v>
      </c>
      <c r="K61">
        <f t="shared" si="17"/>
        <v>1200000</v>
      </c>
      <c r="L61">
        <f t="shared" si="17"/>
        <v>1250000</v>
      </c>
      <c r="M61">
        <f t="shared" si="17"/>
        <v>1300000</v>
      </c>
      <c r="N61">
        <f t="shared" si="17"/>
        <v>1350000</v>
      </c>
      <c r="O61">
        <f t="shared" si="17"/>
        <v>1400000</v>
      </c>
      <c r="P61">
        <f t="shared" si="17"/>
        <v>1450000</v>
      </c>
      <c r="Q61">
        <f t="shared" si="17"/>
        <v>1500000</v>
      </c>
      <c r="R61">
        <f t="shared" si="17"/>
        <v>1550000</v>
      </c>
      <c r="S61">
        <f t="shared" si="17"/>
        <v>1600000</v>
      </c>
      <c r="T61">
        <f t="shared" si="17"/>
        <v>1650000</v>
      </c>
      <c r="U61">
        <f t="shared" si="17"/>
        <v>1700000</v>
      </c>
      <c r="V61">
        <f t="shared" si="17"/>
        <v>1750000</v>
      </c>
      <c r="W61">
        <f t="shared" si="17"/>
        <v>1800000</v>
      </c>
      <c r="X61">
        <f t="shared" si="17"/>
        <v>1850000</v>
      </c>
      <c r="Y61">
        <f t="shared" si="17"/>
        <v>1900000</v>
      </c>
      <c r="Z61">
        <f t="shared" si="17"/>
        <v>1950000</v>
      </c>
      <c r="AA61">
        <f t="shared" si="17"/>
        <v>2000000</v>
      </c>
    </row>
    <row r="62" spans="1:27" ht="15">
      <c r="A62">
        <v>1</v>
      </c>
      <c r="B62" s="40">
        <f>IF($B$61=$I$43,$K$30/5*(1-(A62*VLOOKUP($I$43,$I$29:$J$33,2,FALSE))),0)</f>
        <v>679140</v>
      </c>
      <c r="C62" s="40"/>
      <c r="E62" s="59">
        <v>0</v>
      </c>
      <c r="F62">
        <v>4</v>
      </c>
      <c r="G62">
        <f t="dataTable" ref="G62:AA70" dt2D="1" dtr="1" r1="L43" r2="J43"/>
        <v>387530.17230775615</v>
      </c>
      <c r="H62">
        <v>334085.21411186701</v>
      </c>
      <c r="I62">
        <v>280640.25591597764</v>
      </c>
      <c r="J62">
        <v>227195.29772008833</v>
      </c>
      <c r="K62">
        <v>173750.33952419914</v>
      </c>
      <c r="L62">
        <v>120305.38132831012</v>
      </c>
      <c r="M62">
        <v>66860.42313242075</v>
      </c>
      <c r="N62">
        <v>13415.464936531498</v>
      </c>
      <c r="O62">
        <v>-40029.493259357696</v>
      </c>
      <c r="P62">
        <v>-93474.45145524689</v>
      </c>
      <c r="Q62">
        <v>-146919.40965113611</v>
      </c>
      <c r="R62">
        <v>-200364.36784702534</v>
      </c>
      <c r="S62">
        <v>-253809.32604291462</v>
      </c>
      <c r="T62">
        <v>-307254.28423880384</v>
      </c>
      <c r="U62" s="63">
        <v>-360699.2424346928</v>
      </c>
      <c r="V62" s="63">
        <v>-414144.20063058223</v>
      </c>
      <c r="W62" s="63">
        <v>-467589.15882647148</v>
      </c>
      <c r="X62" s="63">
        <v>-521034.11702236068</v>
      </c>
      <c r="Y62" s="63">
        <v>-574479.07521824981</v>
      </c>
      <c r="Z62" s="63">
        <v>-627924.03341413918</v>
      </c>
      <c r="AA62" s="63">
        <v>-681368.99161002866</v>
      </c>
    </row>
    <row r="63" spans="1:27" ht="15">
      <c r="A63">
        <v>2</v>
      </c>
      <c r="B63" s="40">
        <f t="shared" ref="B63:B70" si="18">IF($B$61=$I$43,$K$30/5*(1-(A63*VLOOKUP($I$43,$I$29:$J$33,2,FALSE))),0)</f>
        <v>588280</v>
      </c>
      <c r="C63" s="40"/>
      <c r="E63" s="59">
        <f>(F63-$F$62)/$F$62</f>
        <v>0.25</v>
      </c>
      <c r="F63">
        <v>5</v>
      </c>
      <c r="G63">
        <v>354202.7696694131</v>
      </c>
      <c r="H63">
        <v>304796.34887981735</v>
      </c>
      <c r="I63">
        <v>255389.92809022154</v>
      </c>
      <c r="J63">
        <v>205983.5073006259</v>
      </c>
      <c r="K63">
        <v>156577.08651103009</v>
      </c>
      <c r="L63">
        <v>107170.66572143446</v>
      </c>
      <c r="M63">
        <v>57764.244931838533</v>
      </c>
      <c r="N63">
        <v>8357.8241422427818</v>
      </c>
      <c r="O63">
        <v>-41048.596647352882</v>
      </c>
      <c r="P63">
        <v>-90455.017436948605</v>
      </c>
      <c r="Q63">
        <v>-139861.43822654453</v>
      </c>
      <c r="R63">
        <v>-189267.85901614028</v>
      </c>
      <c r="S63">
        <v>-238674.27980573577</v>
      </c>
      <c r="T63">
        <v>-288080.70059533173</v>
      </c>
      <c r="U63" s="63">
        <v>-337487.12138492719</v>
      </c>
      <c r="V63" s="63">
        <v>-386893.54217452311</v>
      </c>
      <c r="W63" s="63">
        <v>-436299.96296411898</v>
      </c>
      <c r="X63" s="63">
        <v>-485706.3837537145</v>
      </c>
      <c r="Y63" s="63">
        <v>-535112.80454331031</v>
      </c>
      <c r="Z63" s="63">
        <v>-584519.22533290624</v>
      </c>
      <c r="AA63" s="63">
        <v>-633925.64612250181</v>
      </c>
    </row>
    <row r="64" spans="1:27" ht="15">
      <c r="A64">
        <v>3</v>
      </c>
      <c r="B64" s="40">
        <f t="shared" si="18"/>
        <v>497420</v>
      </c>
      <c r="C64" s="40"/>
      <c r="E64" s="59">
        <f t="shared" ref="E64:E70" si="19">(F64-$F$62)/$F$62</f>
        <v>0.5</v>
      </c>
      <c r="F64">
        <v>6</v>
      </c>
      <c r="G64">
        <v>311573.73791219562</v>
      </c>
      <c r="H64">
        <v>265293.84483262908</v>
      </c>
      <c r="I64">
        <v>219013.95175306234</v>
      </c>
      <c r="J64">
        <v>172734.05867349569</v>
      </c>
      <c r="K64">
        <v>126454.16559392912</v>
      </c>
      <c r="L64">
        <v>80174.272514362383</v>
      </c>
      <c r="M64">
        <v>33894.379434796108</v>
      </c>
      <c r="N64">
        <v>-12385.513644770603</v>
      </c>
      <c r="O64">
        <v>-58665.406724337343</v>
      </c>
      <c r="P64">
        <v>-104945.29980390382</v>
      </c>
      <c r="Q64">
        <v>-151225.19288347056</v>
      </c>
      <c r="R64">
        <v>-197505.08596303736</v>
      </c>
      <c r="S64">
        <v>-243784.9790426039</v>
      </c>
      <c r="T64" s="63">
        <v>-290064.87212217058</v>
      </c>
      <c r="U64" s="63">
        <v>-336344.76520173688</v>
      </c>
      <c r="V64" s="63">
        <v>-382624.65828130383</v>
      </c>
      <c r="W64" s="63">
        <v>-428904.5513608706</v>
      </c>
      <c r="X64" s="63">
        <v>-475184.44444043707</v>
      </c>
      <c r="Y64" s="63">
        <v>-521464.33752000361</v>
      </c>
      <c r="Z64" s="63">
        <v>-567744.23059957055</v>
      </c>
      <c r="AA64" s="63">
        <v>-614024.12367913709</v>
      </c>
    </row>
    <row r="65" spans="1:27" ht="15">
      <c r="A65">
        <v>4</v>
      </c>
      <c r="B65" s="40">
        <f t="shared" si="18"/>
        <v>406560</v>
      </c>
      <c r="C65" s="40"/>
      <c r="E65" s="59">
        <f t="shared" si="19"/>
        <v>0.75</v>
      </c>
      <c r="F65">
        <v>7</v>
      </c>
      <c r="G65">
        <v>266176.96207724838</v>
      </c>
      <c r="H65">
        <v>222473.29407495738</v>
      </c>
      <c r="I65">
        <v>178769.62607266646</v>
      </c>
      <c r="J65">
        <v>135065.9580703754</v>
      </c>
      <c r="K65">
        <v>91362.290068084723</v>
      </c>
      <c r="L65">
        <v>47658.622065793577</v>
      </c>
      <c r="M65">
        <v>3954.9540635026642</v>
      </c>
      <c r="N65">
        <v>-39748.713938788453</v>
      </c>
      <c r="O65">
        <v>-83452.381941079366</v>
      </c>
      <c r="P65">
        <v>-127156.04994337005</v>
      </c>
      <c r="Q65">
        <v>-170859.71794566119</v>
      </c>
      <c r="R65">
        <v>-214563.38594795211</v>
      </c>
      <c r="S65">
        <v>-258267.05395024305</v>
      </c>
      <c r="T65" s="63">
        <v>-301970.72195253416</v>
      </c>
      <c r="U65" s="63">
        <v>-345674.38995482505</v>
      </c>
      <c r="V65" s="63">
        <v>-389378.05795711599</v>
      </c>
      <c r="W65" s="63">
        <v>-433081.7259594067</v>
      </c>
      <c r="X65" s="63">
        <v>-476785.39396169782</v>
      </c>
      <c r="Y65" s="63">
        <v>-520489.06196398847</v>
      </c>
      <c r="Z65" s="63">
        <v>-564192.72996627958</v>
      </c>
      <c r="AA65" s="63">
        <v>-607896.3979685707</v>
      </c>
    </row>
    <row r="66" spans="1:27" ht="15">
      <c r="A66">
        <v>5</v>
      </c>
      <c r="B66" s="40">
        <f t="shared" si="18"/>
        <v>315700</v>
      </c>
      <c r="C66" s="40"/>
      <c r="E66" s="59">
        <f t="shared" si="19"/>
        <v>1</v>
      </c>
      <c r="F66">
        <v>8</v>
      </c>
      <c r="G66">
        <v>111707.01421201986</v>
      </c>
      <c r="H66">
        <v>70212.120661785244</v>
      </c>
      <c r="I66">
        <v>28717.227111550543</v>
      </c>
      <c r="J66">
        <v>-12777.666438684028</v>
      </c>
      <c r="K66">
        <v>-54272.55998891886</v>
      </c>
      <c r="L66">
        <v>-95767.453539153241</v>
      </c>
      <c r="M66">
        <v>-137262.34708938809</v>
      </c>
      <c r="N66">
        <v>-178757.2406396227</v>
      </c>
      <c r="O66">
        <v>-220252.13418985708</v>
      </c>
      <c r="P66" s="63">
        <v>-261747.0277400919</v>
      </c>
      <c r="Q66" s="63">
        <v>-303241.92129032657</v>
      </c>
      <c r="R66" s="63">
        <v>-344736.81484056113</v>
      </c>
      <c r="S66" s="63">
        <v>-386231.70839079597</v>
      </c>
      <c r="T66" s="63">
        <v>-427726.60194103036</v>
      </c>
      <c r="U66" s="63">
        <v>-469221.49549126474</v>
      </c>
      <c r="V66" s="63">
        <v>-510716.38904149958</v>
      </c>
      <c r="W66" s="63">
        <v>-552211.2825917342</v>
      </c>
      <c r="X66" s="63">
        <v>-593706.17614196881</v>
      </c>
      <c r="Y66" s="63">
        <v>-635201.06969220366</v>
      </c>
      <c r="Z66" s="63">
        <v>-676695.96324243827</v>
      </c>
      <c r="AA66" s="63">
        <v>-718190.85679267277</v>
      </c>
    </row>
    <row r="67" spans="1:27" ht="15">
      <c r="A67">
        <v>6</v>
      </c>
      <c r="B67" s="40">
        <f t="shared" si="18"/>
        <v>224840.00000000003</v>
      </c>
      <c r="C67" s="40"/>
      <c r="E67" s="59">
        <f t="shared" si="19"/>
        <v>1.25</v>
      </c>
      <c r="F67">
        <v>9</v>
      </c>
      <c r="G67">
        <v>-63947.41333233082</v>
      </c>
      <c r="H67">
        <v>-103497.76135095643</v>
      </c>
      <c r="I67">
        <v>-143048.1093695818</v>
      </c>
      <c r="J67">
        <v>-182598.45738820714</v>
      </c>
      <c r="K67" s="63">
        <v>-222148.80540683254</v>
      </c>
      <c r="L67" s="63">
        <v>-261699.15342545777</v>
      </c>
      <c r="M67" s="63">
        <v>-301249.50144408352</v>
      </c>
      <c r="N67" s="63">
        <v>-340799.84946270898</v>
      </c>
      <c r="O67" s="63">
        <v>-380350.19748133421</v>
      </c>
      <c r="P67" s="63">
        <v>-419900.54549995973</v>
      </c>
      <c r="Q67" s="63">
        <v>-459450.89351858513</v>
      </c>
      <c r="R67" s="63">
        <v>-499001.24153721018</v>
      </c>
      <c r="S67" s="63">
        <v>-538551.5895558357</v>
      </c>
      <c r="T67" s="63">
        <v>-578101.93757446145</v>
      </c>
      <c r="U67" s="63">
        <v>-617652.28559308662</v>
      </c>
      <c r="V67" s="63">
        <v>-657202.63361171191</v>
      </c>
      <c r="W67" s="63">
        <v>-696752.98163033766</v>
      </c>
      <c r="X67" s="63">
        <v>-736303.32964896318</v>
      </c>
      <c r="Y67" s="63">
        <v>-775853.67766758846</v>
      </c>
      <c r="Z67" s="63">
        <v>-815404.0256862134</v>
      </c>
      <c r="AA67" s="63">
        <v>-854954.37370483903</v>
      </c>
    </row>
    <row r="68" spans="1:27" ht="15">
      <c r="A68">
        <v>7</v>
      </c>
      <c r="B68" s="40">
        <f t="shared" si="18"/>
        <v>133980.00000000003</v>
      </c>
      <c r="C68" s="40"/>
      <c r="E68" s="59">
        <f t="shared" si="19"/>
        <v>1.5</v>
      </c>
      <c r="F68">
        <v>10</v>
      </c>
      <c r="G68" s="63">
        <v>-258274.88386026397</v>
      </c>
      <c r="H68" s="63">
        <v>-296081.62415221124</v>
      </c>
      <c r="I68" s="63">
        <v>-333888.36444415862</v>
      </c>
      <c r="J68" s="63">
        <v>-371695.10473610589</v>
      </c>
      <c r="K68" s="63">
        <v>-409501.84502805333</v>
      </c>
      <c r="L68" s="63">
        <v>-447308.58532000065</v>
      </c>
      <c r="M68" s="63">
        <v>-485115.32561194804</v>
      </c>
      <c r="N68" s="63">
        <v>-522922.06590389536</v>
      </c>
      <c r="O68" s="63">
        <v>-560728.80619584268</v>
      </c>
      <c r="P68" s="63">
        <v>-598535.54648779007</v>
      </c>
      <c r="Q68" s="63">
        <v>-636342.28677973757</v>
      </c>
      <c r="R68" s="63">
        <v>-674149.02707168483</v>
      </c>
      <c r="S68" s="63">
        <v>-711955.76736363175</v>
      </c>
      <c r="T68" s="63">
        <v>-749762.50765557948</v>
      </c>
      <c r="U68" s="63">
        <v>-787569.24794752663</v>
      </c>
      <c r="V68" s="63">
        <v>-825375.98823947401</v>
      </c>
      <c r="W68" s="63">
        <v>-863182.72853142128</v>
      </c>
      <c r="X68" s="63">
        <v>-900989.46882336878</v>
      </c>
      <c r="Y68" s="63">
        <v>-938796.20911531616</v>
      </c>
      <c r="Z68" s="63">
        <v>-976602.94940726354</v>
      </c>
      <c r="AA68" s="63">
        <v>-1014409.689699211</v>
      </c>
    </row>
    <row r="69" spans="1:27" ht="15">
      <c r="A69">
        <v>8</v>
      </c>
      <c r="B69" s="40">
        <f t="shared" si="18"/>
        <v>43120.000000000036</v>
      </c>
      <c r="C69" s="40"/>
      <c r="E69" s="59">
        <f t="shared" si="19"/>
        <v>1.75</v>
      </c>
      <c r="F69">
        <v>11</v>
      </c>
      <c r="G69" s="63">
        <v>-469299.08424108662</v>
      </c>
      <c r="H69" s="63">
        <v>-505521.74053932505</v>
      </c>
      <c r="I69" s="63">
        <v>-541744.39683756325</v>
      </c>
      <c r="J69" s="63">
        <v>-577967.05313580146</v>
      </c>
      <c r="K69" s="63">
        <v>-614189.70943403977</v>
      </c>
      <c r="L69" s="63">
        <v>-650412.36573227809</v>
      </c>
      <c r="M69" s="63">
        <v>-686635.02203051629</v>
      </c>
      <c r="N69" s="63">
        <v>-722857.67832875438</v>
      </c>
      <c r="O69" s="63">
        <v>-759080.33462699293</v>
      </c>
      <c r="P69" s="63">
        <v>-795302.99092523102</v>
      </c>
      <c r="Q69" s="63">
        <v>-831525.64722346934</v>
      </c>
      <c r="R69" s="63">
        <v>-867748.30352170742</v>
      </c>
      <c r="S69" s="63">
        <v>-903970.95981994562</v>
      </c>
      <c r="T69" s="63">
        <v>-940193.61611818417</v>
      </c>
      <c r="U69" s="63">
        <v>-976416.27241642249</v>
      </c>
      <c r="V69" s="63">
        <v>-1012638.9287146602</v>
      </c>
      <c r="W69" s="63">
        <v>-1048861.5850128988</v>
      </c>
      <c r="X69" s="63">
        <v>-1085084.2413111371</v>
      </c>
      <c r="Y69" s="63">
        <v>-1121306.8976093754</v>
      </c>
      <c r="Z69" s="63">
        <v>-1157529.5539076135</v>
      </c>
      <c r="AA69" s="63">
        <v>-1193752.2102058516</v>
      </c>
    </row>
    <row r="70" spans="1:27" ht="15">
      <c r="A70">
        <v>9</v>
      </c>
      <c r="B70" s="40">
        <f t="shared" si="18"/>
        <v>-47739.999999999869</v>
      </c>
      <c r="C70" s="40"/>
      <c r="E70" s="59">
        <f t="shared" si="19"/>
        <v>2</v>
      </c>
      <c r="F70">
        <v>12</v>
      </c>
      <c r="G70" s="63">
        <v>-695390.5058074051</v>
      </c>
      <c r="H70" s="63">
        <v>-730160.03109777521</v>
      </c>
      <c r="I70" s="63">
        <v>-764929.55638814555</v>
      </c>
      <c r="J70" s="63">
        <v>-799699.08167851588</v>
      </c>
      <c r="K70" s="63">
        <v>-834468.60696888622</v>
      </c>
      <c r="L70" s="63">
        <v>-869238.13225925632</v>
      </c>
      <c r="M70" s="63">
        <v>-904007.65754962643</v>
      </c>
      <c r="N70" s="63">
        <v>-938777.18283999676</v>
      </c>
      <c r="O70" s="63">
        <v>-973546.7081303671</v>
      </c>
      <c r="P70" s="63">
        <v>-1008316.2334207372</v>
      </c>
      <c r="Q70" s="63">
        <v>-1043085.7587111077</v>
      </c>
      <c r="R70" s="63">
        <v>-1077855.284001478</v>
      </c>
      <c r="S70" s="63">
        <v>-1112624.809291848</v>
      </c>
      <c r="T70" s="63">
        <v>-1147394.3345822184</v>
      </c>
      <c r="U70" s="63">
        <v>-1182163.8598725887</v>
      </c>
      <c r="V70" s="63">
        <v>-1216933.3851629589</v>
      </c>
      <c r="W70" s="63">
        <v>-1251702.9104533293</v>
      </c>
      <c r="X70" s="63">
        <v>-1286472.4357436995</v>
      </c>
      <c r="Y70" s="63">
        <v>-1321241.9610340695</v>
      </c>
      <c r="Z70" s="63">
        <v>-1356011.4863244398</v>
      </c>
      <c r="AA70" s="63">
        <v>-1390781.0116148102</v>
      </c>
    </row>
    <row r="71" spans="1:27" ht="15">
      <c r="E71" s="59"/>
      <c r="H71" s="57"/>
    </row>
    <row r="72" spans="1:27" ht="15">
      <c r="B72" s="31" t="s">
        <v>52</v>
      </c>
      <c r="E72" s="59"/>
      <c r="H72" s="57"/>
    </row>
    <row r="73" spans="1:27" ht="15">
      <c r="A73">
        <v>0</v>
      </c>
      <c r="B73" s="39">
        <v>5.0000000000000001E-3</v>
      </c>
      <c r="E73" s="59"/>
      <c r="F73" s="31" t="s">
        <v>100</v>
      </c>
      <c r="H73">
        <v>0</v>
      </c>
    </row>
    <row r="74" spans="1:27" ht="15">
      <c r="A74">
        <v>1</v>
      </c>
      <c r="B74" s="39">
        <v>0.02</v>
      </c>
      <c r="E74" s="59"/>
      <c r="F74" s="31" t="s">
        <v>101</v>
      </c>
      <c r="H74" cm="1">
        <f t="array" ref="H74">MIN(IF(G62:AA70&gt;H73,G62:AA70))</f>
        <v>3954.9540635026642</v>
      </c>
      <c r="J74" cm="1">
        <f t="array" ref="J74">SUMPRODUCT((F59:K70=H74)*ROW(F59:K70))</f>
        <v>0</v>
      </c>
      <c r="K74" cm="1">
        <f t="array" ref="K74">SUMPRODUCT((F59:K70=H74)*COLUMN(F59:K70))</f>
        <v>0</v>
      </c>
    </row>
    <row r="75" spans="1:27" ht="15">
      <c r="A75">
        <v>2</v>
      </c>
      <c r="B75" s="39">
        <v>0.03</v>
      </c>
      <c r="E75" s="59"/>
      <c r="F75" s="31" t="s">
        <v>102</v>
      </c>
      <c r="H75" s="62">
        <f>VLOOKUP(H74,Data,1,TRUE)</f>
        <v>12</v>
      </c>
      <c r="J75" t="e" cm="1" vm="1">
        <f t="array" aca="1" ref="J75" ca="1">INDEX(1:1048576,J74,6)</f>
        <v>#VALUE!</v>
      </c>
      <c r="K75" s="64" t="e" cm="1" vm="1">
        <f t="array" aca="1" ref="K75" ca="1">INDEX(1:1048576,60,K74)</f>
        <v>#VALUE!</v>
      </c>
    </row>
    <row r="76" spans="1:27" ht="15">
      <c r="A76">
        <v>3</v>
      </c>
      <c r="B76" s="39">
        <v>0.04</v>
      </c>
      <c r="E76" s="59"/>
      <c r="H76" s="61">
        <f>HLOOKUP(H74,Data,1,TRUE)</f>
        <v>1</v>
      </c>
    </row>
    <row r="77" spans="1:27" ht="15">
      <c r="A77">
        <v>4</v>
      </c>
      <c r="B77" s="39">
        <v>0.02</v>
      </c>
      <c r="E77" s="59"/>
    </row>
    <row r="78" spans="1:27" ht="15">
      <c r="A78">
        <v>5</v>
      </c>
      <c r="B78" s="39">
        <v>0.01</v>
      </c>
      <c r="E78" s="59"/>
      <c r="F78" s="65" t="s">
        <v>103</v>
      </c>
      <c r="G78" s="65" t="s">
        <v>73</v>
      </c>
      <c r="H78" s="66" cm="1">
        <f t="array" ref="H78">INDEX(1:1048576,SUMPRODUCT((F59:AA70=H74)*ROW(F59:AA70)),6)</f>
        <v>7</v>
      </c>
      <c r="K78" cm="1">
        <f t="array" ref="K78">MIN(IF(G62:AA70&gt;H73,G62:AA70))</f>
        <v>3954.9540635026642</v>
      </c>
    </row>
    <row r="79" spans="1:27" ht="15">
      <c r="A79">
        <v>6</v>
      </c>
      <c r="B79" s="39">
        <v>0.02</v>
      </c>
      <c r="E79" s="59"/>
      <c r="F79" s="65"/>
      <c r="G79" s="65" t="s">
        <v>104</v>
      </c>
      <c r="H79" s="67" cm="1">
        <f t="array" ref="H79">INDEX(1:1048576,60,SUMPRODUCT((F59:AA70=H74)*COLUMN(F59:AA70)))</f>
        <v>0.3</v>
      </c>
    </row>
    <row r="80" spans="1:27" ht="15">
      <c r="A80">
        <v>7</v>
      </c>
      <c r="B80" s="39">
        <v>0.02</v>
      </c>
      <c r="E80" s="59"/>
      <c r="H80" s="57"/>
    </row>
    <row r="81" spans="1:27" ht="15">
      <c r="A81">
        <v>8</v>
      </c>
      <c r="B81" s="39">
        <v>0.01</v>
      </c>
      <c r="E81" s="59"/>
      <c r="H81" s="57"/>
    </row>
    <row r="82" spans="1:27" ht="15">
      <c r="A82">
        <v>9</v>
      </c>
      <c r="B82" s="39">
        <v>0.01</v>
      </c>
      <c r="E82" s="59"/>
      <c r="H82" s="57"/>
    </row>
    <row r="83" spans="1:27">
      <c r="A83">
        <v>10</v>
      </c>
      <c r="B83" s="39">
        <v>0.03</v>
      </c>
    </row>
    <row r="84" spans="1:27">
      <c r="A84">
        <v>11</v>
      </c>
      <c r="B84" s="39">
        <v>0.02</v>
      </c>
      <c r="F84" s="57">
        <f>N43</f>
        <v>33894.379434796108</v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27">
      <c r="A85">
        <v>12</v>
      </c>
      <c r="B85" s="39">
        <v>0.01</v>
      </c>
      <c r="H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spans="1:27">
      <c r="H86" s="57"/>
    </row>
    <row r="87" spans="1:27">
      <c r="H87" s="57"/>
      <c r="K87" s="39"/>
    </row>
    <row r="88" spans="1:27">
      <c r="H88" s="57"/>
    </row>
    <row r="89" spans="1:27">
      <c r="H89" s="57"/>
    </row>
    <row r="90" spans="1:27">
      <c r="H90" s="57"/>
    </row>
    <row r="91" spans="1:27">
      <c r="H91" s="57"/>
    </row>
    <row r="92" spans="1:27">
      <c r="H92" s="57"/>
    </row>
    <row r="93" spans="1:27">
      <c r="H93" s="57"/>
    </row>
    <row r="94" spans="1:27" ht="15">
      <c r="E94" s="59"/>
      <c r="H94" s="57"/>
    </row>
    <row r="95" spans="1:27" ht="15">
      <c r="E95" s="59"/>
      <c r="H95" s="57"/>
    </row>
    <row r="96" spans="1:27" ht="15">
      <c r="E96" s="59"/>
      <c r="H96" s="57"/>
    </row>
    <row r="97" spans="5:8" ht="15">
      <c r="E97" s="59"/>
      <c r="H97" s="57"/>
    </row>
    <row r="98" spans="5:8" ht="15">
      <c r="E98" s="59"/>
      <c r="H98" s="57"/>
    </row>
    <row r="99" spans="5:8" ht="15">
      <c r="E99" s="59"/>
      <c r="H99" s="57"/>
    </row>
    <row r="100" spans="5:8" ht="15">
      <c r="E100" s="59"/>
      <c r="H100" s="57"/>
    </row>
    <row r="101" spans="5:8" ht="15">
      <c r="E101" s="59"/>
      <c r="H101" s="57"/>
    </row>
    <row r="102" spans="5:8" ht="15">
      <c r="E102" s="59"/>
      <c r="H102" s="57"/>
    </row>
    <row r="103" spans="5:8" ht="15">
      <c r="E103" s="59"/>
      <c r="H103" s="57"/>
    </row>
    <row r="104" spans="5:8" ht="15">
      <c r="E104" s="59"/>
      <c r="H104" s="57"/>
    </row>
    <row r="105" spans="5:8" ht="15">
      <c r="E105" s="59"/>
      <c r="H105" s="57"/>
    </row>
    <row r="106" spans="5:8" ht="15">
      <c r="E106" s="59"/>
      <c r="H106" s="57"/>
    </row>
  </sheetData>
  <dataConsolidate/>
  <mergeCells count="10">
    <mergeCell ref="N15:P15"/>
    <mergeCell ref="I36:M36"/>
    <mergeCell ref="I41:N41"/>
    <mergeCell ref="E1:G1"/>
    <mergeCell ref="H1:J1"/>
    <mergeCell ref="N6:P6"/>
    <mergeCell ref="N9:P9"/>
    <mergeCell ref="C11:E11"/>
    <mergeCell ref="J12:L12"/>
    <mergeCell ref="N12:P12"/>
  </mergeCells>
  <dataValidations count="6">
    <dataValidation allowBlank="1" showInputMessage="1" showErrorMessage="1" promptTitle="Select Month" prompt="Select month from drop down list. January to December listed in 3 letter format." sqref="I38 I43" xr:uid="{523D86DC-F4F4-47E0-AF1B-18D344819967}"/>
    <dataValidation allowBlank="1" showInputMessage="1" showErrorMessage="1" promptTitle="Select Work Type" prompt="Select work type from drop down list." sqref="L43:N43 K38:M38" xr:uid="{9CDECF88-E6B6-4835-86E8-52DB1852EEB8}"/>
    <dataValidation allowBlank="1" showInputMessage="1" showErrorMessage="1" promptTitle="Select Incident Category" prompt="Select Incident Category from drop down list. In N/A, see supervisor." sqref="J38 J43:K43" xr:uid="{596F3F22-3646-4C0D-8B2A-A68D645B98D2}"/>
    <dataValidation type="list" allowBlank="1" showInputMessage="1" showErrorMessage="1" promptTitle="Select Work Type" prompt="Select work type from drop down list." sqref="L14" xr:uid="{7FC80A92-4EE0-44D7-BE6B-9F8DDDEC9736}">
      <formula1>$B$39:$B$41</formula1>
    </dataValidation>
    <dataValidation type="list" allowBlank="1" showInputMessage="1" showErrorMessage="1" promptTitle="Select Incident Category" prompt="Select Incident Category from drop down list. In N/A, see supervisor." sqref="K14" xr:uid="{2C80F414-0386-413D-AD7D-07BD22E0FCF1}">
      <formula1>$B$3:$B$8</formula1>
    </dataValidation>
    <dataValidation type="list" allowBlank="1" showInputMessage="1" showErrorMessage="1" promptTitle="Select Month" prompt="Select month from drop down list. January to December listed in 3 letter format." sqref="J14" xr:uid="{E5F54CB9-A9F2-4857-BEBF-B2C3105964FB}">
      <formula1>$I$30:$I$33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Krishandan Shanmugasundaram</dc:creator>
  <cp:keywords/>
  <dc:description/>
  <cp:lastModifiedBy>Krishandan Shanmugasundaram</cp:lastModifiedBy>
  <cp:revision/>
  <dcterms:created xsi:type="dcterms:W3CDTF">2021-03-23T00:45:33Z</dcterms:created>
  <dcterms:modified xsi:type="dcterms:W3CDTF">2022-12-06T04:09:20Z</dcterms:modified>
  <cp:category/>
  <cp:contentStatus/>
</cp:coreProperties>
</file>