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omard\Desktop\OMAR_ALAMALDEEN_185220601\"/>
    </mc:Choice>
  </mc:AlternateContent>
  <bookViews>
    <workbookView xWindow="0" yWindow="0" windowWidth="23040" windowHeight="8592" firstSheet="2" activeTab="6"/>
  </bookViews>
  <sheets>
    <sheet name="5TR1_1 Gücü ve Akım " sheetId="1" r:id="rId1"/>
    <sheet name="5TR1-1Abone" sheetId="46" r:id="rId2"/>
    <sheet name="5TR1-1Aydınlatma" sheetId="54" r:id="rId3"/>
    <sheet name="TR1_1  Moment" sheetId="61" r:id="rId4"/>
    <sheet name="5TR1_2 Gücü ve Akım" sheetId="40" r:id="rId5"/>
    <sheet name="5TR1_2 Abone" sheetId="49" r:id="rId6"/>
    <sheet name="5TR1_2 Aydınlatma" sheetId="56" r:id="rId7"/>
    <sheet name="5TR1_2 Moment " sheetId="62" r:id="rId8"/>
    <sheet name="5TR1_3 Gücü ve Akım" sheetId="43" r:id="rId9"/>
    <sheet name="5TR1-3Abone" sheetId="47" r:id="rId10"/>
    <sheet name="5TR1-3Aydınlatma" sheetId="57" r:id="rId11"/>
    <sheet name="5TR1-3 moment" sheetId="63" r:id="rId12"/>
    <sheet name="5TR1_4 Yer altı Gücü ve Akım" sheetId="44" r:id="rId13"/>
    <sheet name="5TR1_4 Yer altı Abone" sheetId="53" r:id="rId14"/>
    <sheet name="5TR1_4 Yer altı moment" sheetId="64" r:id="rId15"/>
    <sheet name="5TR2_1 Gücü ve Akım" sheetId="6" r:id="rId16"/>
    <sheet name="5TR2_1 Abone" sheetId="50" r:id="rId17"/>
    <sheet name="5TR2-1Ayadınlatma" sheetId="58" r:id="rId18"/>
    <sheet name="5TR2-1Moment" sheetId="65" r:id="rId19"/>
    <sheet name="5TR2_2 Gücü ve Akım" sheetId="39" r:id="rId20"/>
    <sheet name="5TR2-2Abone" sheetId="48" r:id="rId21"/>
    <sheet name="5TR2-2Aydınlatma" sheetId="59" r:id="rId22"/>
    <sheet name="5TR2_2 Moment" sheetId="66" r:id="rId23"/>
    <sheet name="5TR2_3 Yer altı Gücü ve Akım" sheetId="45" r:id="rId24"/>
    <sheet name="5TR2_3 Yer altı Abone" sheetId="52" r:id="rId25"/>
    <sheet name="5TR2_3 Yer altı moment" sheetId="67" r:id="rId26"/>
    <sheet name="Veriler" sheetId="2" r:id="rId27"/>
    <sheet name="Sheet5" sheetId="38" r:id="rId28"/>
  </sheets>
  <externalReferences>
    <externalReference r:id="rId29"/>
    <externalReference r:id="rId30"/>
  </externalReferences>
  <calcPr calcId="162913"/>
</workbook>
</file>

<file path=xl/calcChain.xml><?xml version="1.0" encoding="utf-8"?>
<calcChain xmlns="http://schemas.openxmlformats.org/spreadsheetml/2006/main">
  <c r="D5" i="54" l="1"/>
  <c r="B6" i="54"/>
  <c r="E5" i="54"/>
  <c r="F5" i="54"/>
  <c r="C5" i="54"/>
  <c r="G5" i="54"/>
  <c r="H5" i="54"/>
  <c r="I5" i="54"/>
  <c r="J5" i="54"/>
  <c r="K5" i="54"/>
  <c r="B5" i="54"/>
  <c r="P24" i="1"/>
  <c r="O24" i="1"/>
  <c r="L24" i="1"/>
  <c r="M24" i="1" s="1"/>
  <c r="J24" i="1"/>
  <c r="P23" i="1"/>
  <c r="O23" i="1"/>
  <c r="K23" i="1"/>
  <c r="L23" i="1" s="1"/>
  <c r="M23" i="1" s="1"/>
  <c r="J23" i="1"/>
  <c r="P22" i="1"/>
  <c r="O22" i="1"/>
  <c r="K22" i="1"/>
  <c r="L22" i="1" s="1"/>
  <c r="M22" i="1" s="1"/>
  <c r="J22" i="1"/>
  <c r="P21" i="1"/>
  <c r="O21" i="1"/>
  <c r="M21" i="1"/>
  <c r="P20" i="1"/>
  <c r="O20" i="1"/>
  <c r="M20" i="1"/>
  <c r="P19" i="1"/>
  <c r="O19" i="1"/>
  <c r="K19" i="1"/>
  <c r="L19" i="1" s="1"/>
  <c r="M19" i="1" s="1"/>
  <c r="J19" i="1"/>
  <c r="P18" i="1"/>
  <c r="O18" i="1"/>
  <c r="K18" i="1"/>
  <c r="L18" i="1" s="1"/>
  <c r="M18" i="1" s="1"/>
  <c r="J18" i="1"/>
  <c r="P17" i="1"/>
  <c r="O17" i="1"/>
  <c r="M17" i="1"/>
  <c r="P16" i="1"/>
  <c r="O16" i="1"/>
  <c r="M16" i="1"/>
  <c r="P15" i="1"/>
  <c r="O15" i="1"/>
  <c r="M15" i="1"/>
  <c r="P14" i="1"/>
  <c r="O14" i="1"/>
  <c r="M14" i="1"/>
  <c r="P13" i="1"/>
  <c r="O13" i="1"/>
  <c r="M13" i="1"/>
  <c r="P12" i="1"/>
  <c r="O12" i="1"/>
  <c r="M12" i="1"/>
  <c r="P11" i="1"/>
  <c r="O11" i="1"/>
  <c r="K11" i="1"/>
  <c r="L11" i="1" s="1"/>
  <c r="M11" i="1" s="1"/>
  <c r="J11" i="1"/>
  <c r="P10" i="1"/>
  <c r="O10" i="1"/>
  <c r="M10" i="1"/>
  <c r="P9" i="1"/>
  <c r="O9" i="1"/>
  <c r="M9" i="1"/>
  <c r="P8" i="1"/>
  <c r="O8" i="1"/>
  <c r="M8" i="1"/>
  <c r="P7" i="1"/>
  <c r="O7" i="1"/>
  <c r="M7" i="1"/>
  <c r="P6" i="1"/>
  <c r="O6" i="1"/>
  <c r="J6" i="1"/>
  <c r="K6" i="1" s="1"/>
  <c r="P5" i="1"/>
  <c r="O5" i="1"/>
  <c r="J5" i="1"/>
  <c r="P4" i="1"/>
  <c r="O4" i="1"/>
  <c r="J4" i="1"/>
  <c r="P3" i="1"/>
  <c r="O3" i="1"/>
  <c r="J3" i="1"/>
  <c r="F6" i="52"/>
  <c r="D6" i="52"/>
  <c r="D3" i="52"/>
  <c r="M3" i="45"/>
  <c r="M4" i="45"/>
  <c r="M5" i="45"/>
  <c r="M6" i="45"/>
  <c r="M7" i="45"/>
  <c r="O4" i="45"/>
  <c r="O5" i="45"/>
  <c r="O6" i="45"/>
  <c r="O7" i="45"/>
  <c r="O3" i="45"/>
  <c r="F6" i="53"/>
  <c r="D6" i="53"/>
  <c r="D3" i="53"/>
  <c r="M4" i="44"/>
  <c r="M5" i="44"/>
  <c r="M6" i="44"/>
  <c r="M7" i="44"/>
  <c r="M3" i="44"/>
  <c r="N6" i="48"/>
  <c r="L6" i="48"/>
  <c r="J6" i="48"/>
  <c r="H6" i="48"/>
  <c r="F6" i="48"/>
  <c r="D6" i="48"/>
  <c r="B6" i="48"/>
  <c r="N6" i="49"/>
  <c r="L6" i="49"/>
  <c r="J6" i="49"/>
  <c r="H6" i="49"/>
  <c r="F6" i="49"/>
  <c r="D6" i="49"/>
  <c r="B6" i="49"/>
  <c r="J3" i="49"/>
  <c r="H3" i="49" s="1"/>
  <c r="F3" i="49" s="1"/>
  <c r="D3" i="49" s="1"/>
  <c r="B3" i="49" s="1"/>
  <c r="L3" i="49"/>
  <c r="N6" i="50"/>
  <c r="L6" i="50"/>
  <c r="J6" i="50"/>
  <c r="H6" i="50"/>
  <c r="F6" i="50"/>
  <c r="N6" i="47"/>
  <c r="L6" i="47"/>
  <c r="J6" i="47"/>
  <c r="H6" i="47"/>
  <c r="H6" i="46"/>
  <c r="N6" i="46"/>
  <c r="L6" i="46"/>
  <c r="J6" i="46"/>
  <c r="F6" i="46"/>
  <c r="H3" i="50"/>
  <c r="F3" i="50" s="1"/>
  <c r="J3" i="50"/>
  <c r="L3" i="50"/>
  <c r="H3" i="46"/>
  <c r="F3" i="46"/>
  <c r="J3" i="46"/>
  <c r="L3" i="46"/>
  <c r="H3" i="48"/>
  <c r="F3" i="48" s="1"/>
  <c r="D3" i="48" s="1"/>
  <c r="B3" i="48" s="1"/>
  <c r="J3" i="48"/>
  <c r="L3" i="48"/>
  <c r="J3" i="47"/>
  <c r="H3" i="47" s="1"/>
  <c r="L3" i="47"/>
  <c r="M5" i="43"/>
  <c r="M6" i="43"/>
  <c r="P49" i="40"/>
  <c r="O49" i="40"/>
  <c r="M49" i="40"/>
  <c r="H49" i="40"/>
  <c r="F49" i="40"/>
  <c r="P48" i="40"/>
  <c r="O48" i="40"/>
  <c r="M48" i="40"/>
  <c r="H48" i="40"/>
  <c r="F48" i="40"/>
  <c r="P47" i="40"/>
  <c r="O47" i="40"/>
  <c r="M47" i="40"/>
  <c r="H47" i="40"/>
  <c r="F47" i="40"/>
  <c r="P46" i="40"/>
  <c r="O46" i="40"/>
  <c r="M46" i="40"/>
  <c r="H46" i="40"/>
  <c r="F46" i="40"/>
  <c r="P45" i="40"/>
  <c r="O45" i="40"/>
  <c r="M45" i="40"/>
  <c r="H45" i="40"/>
  <c r="F45" i="40"/>
  <c r="P44" i="40"/>
  <c r="O44" i="40"/>
  <c r="M44" i="40"/>
  <c r="H44" i="40"/>
  <c r="F44" i="40"/>
  <c r="P43" i="40"/>
  <c r="O43" i="40"/>
  <c r="M43" i="40"/>
  <c r="H43" i="40"/>
  <c r="F43" i="40"/>
  <c r="P42" i="40"/>
  <c r="O42" i="40"/>
  <c r="M42" i="40"/>
  <c r="H42" i="40"/>
  <c r="F42" i="40"/>
  <c r="P41" i="40"/>
  <c r="O41" i="40"/>
  <c r="M41" i="40"/>
  <c r="H41" i="40"/>
  <c r="F41" i="40"/>
  <c r="P40" i="40"/>
  <c r="O40" i="40"/>
  <c r="M40" i="40"/>
  <c r="H40" i="40"/>
  <c r="F40" i="40"/>
  <c r="P39" i="40"/>
  <c r="O39" i="40"/>
  <c r="M39" i="40"/>
  <c r="H39" i="40"/>
  <c r="F39" i="40"/>
  <c r="P38" i="40"/>
  <c r="O38" i="40"/>
  <c r="M38" i="40"/>
  <c r="H38" i="40"/>
  <c r="F38" i="40"/>
  <c r="P37" i="40"/>
  <c r="O37" i="40"/>
  <c r="M37" i="40"/>
  <c r="H37" i="40"/>
  <c r="F37" i="40"/>
  <c r="P36" i="40"/>
  <c r="O36" i="40"/>
  <c r="M36" i="40"/>
  <c r="H36" i="40"/>
  <c r="F36" i="40"/>
  <c r="P35" i="40"/>
  <c r="O35" i="40"/>
  <c r="M35" i="40"/>
  <c r="H35" i="40"/>
  <c r="F35" i="40"/>
  <c r="P34" i="40"/>
  <c r="O34" i="40"/>
  <c r="M34" i="40"/>
  <c r="H34" i="40"/>
  <c r="F34" i="40"/>
  <c r="P33" i="40"/>
  <c r="O33" i="40"/>
  <c r="M33" i="40"/>
  <c r="H33" i="40"/>
  <c r="F33" i="40"/>
  <c r="P32" i="40"/>
  <c r="O32" i="40"/>
  <c r="M32" i="40"/>
  <c r="H32" i="40"/>
  <c r="F32" i="40"/>
  <c r="P31" i="40"/>
  <c r="O31" i="40"/>
  <c r="M31" i="40"/>
  <c r="H31" i="40"/>
  <c r="F31" i="40"/>
  <c r="P30" i="40"/>
  <c r="O30" i="40"/>
  <c r="M30" i="40"/>
  <c r="H30" i="40"/>
  <c r="F30" i="40"/>
  <c r="P29" i="40"/>
  <c r="O29" i="40"/>
  <c r="M29" i="40"/>
  <c r="H29" i="40"/>
  <c r="F29" i="40"/>
  <c r="P28" i="40"/>
  <c r="O28" i="40"/>
  <c r="M28" i="40"/>
  <c r="H28" i="40"/>
  <c r="F28" i="40"/>
  <c r="P27" i="40"/>
  <c r="O27" i="40"/>
  <c r="M27" i="40"/>
  <c r="H27" i="40"/>
  <c r="F27" i="40"/>
  <c r="P26" i="40"/>
  <c r="O26" i="40"/>
  <c r="M26" i="40"/>
  <c r="H26" i="40"/>
  <c r="F26" i="40"/>
  <c r="P25" i="40"/>
  <c r="O25" i="40"/>
  <c r="M25" i="40"/>
  <c r="H25" i="40"/>
  <c r="F25" i="40"/>
  <c r="O24" i="40"/>
  <c r="M24" i="40"/>
  <c r="L24" i="40"/>
  <c r="F24" i="40"/>
  <c r="G24" i="40" s="1"/>
  <c r="H24" i="40" s="1"/>
  <c r="I24" i="40" s="1"/>
  <c r="O23" i="40"/>
  <c r="F23" i="40"/>
  <c r="O22" i="40"/>
  <c r="F22" i="40"/>
  <c r="G22" i="40" s="1"/>
  <c r="H22" i="40" s="1"/>
  <c r="O21" i="40"/>
  <c r="F21" i="40"/>
  <c r="O20" i="40"/>
  <c r="F20" i="40"/>
  <c r="G20" i="40" s="1"/>
  <c r="H20" i="40" s="1"/>
  <c r="O19" i="40"/>
  <c r="H19" i="40"/>
  <c r="F19" i="40"/>
  <c r="G19" i="40" s="1"/>
  <c r="O18" i="40"/>
  <c r="F18" i="40"/>
  <c r="G18" i="40" s="1"/>
  <c r="H18" i="40" s="1"/>
  <c r="O17" i="40"/>
  <c r="H17" i="40"/>
  <c r="F17" i="40"/>
  <c r="G17" i="40" s="1"/>
  <c r="O16" i="40"/>
  <c r="F16" i="40"/>
  <c r="G16" i="40" s="1"/>
  <c r="H16" i="40" s="1"/>
  <c r="O15" i="40"/>
  <c r="F15" i="40"/>
  <c r="O14" i="40"/>
  <c r="F14" i="40"/>
  <c r="G14" i="40" s="1"/>
  <c r="H14" i="40" s="1"/>
  <c r="O13" i="40"/>
  <c r="H13" i="40"/>
  <c r="F13" i="40"/>
  <c r="G13" i="40" s="1"/>
  <c r="O12" i="40"/>
  <c r="F12" i="40"/>
  <c r="G12" i="40" s="1"/>
  <c r="H12" i="40" s="1"/>
  <c r="O11" i="40"/>
  <c r="F11" i="40"/>
  <c r="O10" i="40"/>
  <c r="F10" i="40"/>
  <c r="G10" i="40" s="1"/>
  <c r="H10" i="40" s="1"/>
  <c r="O9" i="40"/>
  <c r="F9" i="40"/>
  <c r="O8" i="40"/>
  <c r="F8" i="40"/>
  <c r="G8" i="40" s="1"/>
  <c r="H8" i="40" s="1"/>
  <c r="O7" i="40"/>
  <c r="G7" i="40"/>
  <c r="H7" i="40" s="1"/>
  <c r="F7" i="40"/>
  <c r="O6" i="40"/>
  <c r="G6" i="40"/>
  <c r="H6" i="40" s="1"/>
  <c r="F6" i="40"/>
  <c r="O5" i="40"/>
  <c r="G5" i="40"/>
  <c r="H5" i="40" s="1"/>
  <c r="F5" i="40"/>
  <c r="O4" i="40"/>
  <c r="G4" i="40"/>
  <c r="H4" i="40" s="1"/>
  <c r="F4" i="40"/>
  <c r="O3" i="40"/>
  <c r="G3" i="40"/>
  <c r="H3" i="40" s="1"/>
  <c r="F3" i="40"/>
  <c r="H2" i="40"/>
  <c r="G2" i="40"/>
  <c r="H1" i="2"/>
  <c r="P7" i="45"/>
  <c r="L7" i="45"/>
  <c r="K7" i="45"/>
  <c r="J7" i="45"/>
  <c r="I7" i="45"/>
  <c r="H7" i="45"/>
  <c r="G7" i="45"/>
  <c r="F7" i="45"/>
  <c r="P6" i="45"/>
  <c r="L6" i="45"/>
  <c r="K6" i="45"/>
  <c r="J6" i="45"/>
  <c r="I6" i="45"/>
  <c r="H6" i="45"/>
  <c r="G6" i="45"/>
  <c r="F6" i="45"/>
  <c r="P5" i="45"/>
  <c r="L5" i="45"/>
  <c r="K5" i="45"/>
  <c r="J5" i="45"/>
  <c r="I5" i="45"/>
  <c r="H5" i="45"/>
  <c r="G5" i="45"/>
  <c r="F5" i="45"/>
  <c r="P4" i="45"/>
  <c r="L4" i="45"/>
  <c r="H4" i="45"/>
  <c r="G4" i="45"/>
  <c r="F4" i="45"/>
  <c r="P3" i="45"/>
  <c r="L3" i="45"/>
  <c r="K3" i="45"/>
  <c r="J3" i="45"/>
  <c r="I3" i="45"/>
  <c r="H3" i="45"/>
  <c r="G3" i="45"/>
  <c r="F3" i="45"/>
  <c r="H2" i="45"/>
  <c r="G2" i="45"/>
  <c r="P47" i="39"/>
  <c r="O47" i="39"/>
  <c r="M47" i="39"/>
  <c r="L47" i="39"/>
  <c r="K47" i="39"/>
  <c r="J47" i="39"/>
  <c r="F47" i="39"/>
  <c r="G47" i="39" s="1"/>
  <c r="H47" i="39" s="1"/>
  <c r="O46" i="39"/>
  <c r="F46" i="39"/>
  <c r="G46" i="39" s="1"/>
  <c r="H46" i="39" s="1"/>
  <c r="I46" i="39" s="1"/>
  <c r="O45" i="39"/>
  <c r="F45" i="39"/>
  <c r="G45" i="39" s="1"/>
  <c r="H45" i="39" s="1"/>
  <c r="I45" i="39" s="1"/>
  <c r="O44" i="39"/>
  <c r="F44" i="39"/>
  <c r="G44" i="39" s="1"/>
  <c r="H44" i="39" s="1"/>
  <c r="I44" i="39" s="1"/>
  <c r="O43" i="39"/>
  <c r="F43" i="39"/>
  <c r="O42" i="39"/>
  <c r="F42" i="39"/>
  <c r="G42" i="39" s="1"/>
  <c r="H42" i="39" s="1"/>
  <c r="O41" i="39"/>
  <c r="F41" i="39"/>
  <c r="O40" i="39"/>
  <c r="F40" i="39"/>
  <c r="G40" i="39" s="1"/>
  <c r="H40" i="39" s="1"/>
  <c r="O39" i="39"/>
  <c r="F39" i="39"/>
  <c r="P38" i="39"/>
  <c r="O38" i="39"/>
  <c r="M38" i="39"/>
  <c r="F38" i="39"/>
  <c r="G38" i="39" s="1"/>
  <c r="H38" i="39" s="1"/>
  <c r="P37" i="39"/>
  <c r="O37" i="39"/>
  <c r="M37" i="39"/>
  <c r="F37" i="39"/>
  <c r="P36" i="39"/>
  <c r="O36" i="39"/>
  <c r="M36" i="39"/>
  <c r="F36" i="39"/>
  <c r="G36" i="39" s="1"/>
  <c r="H36" i="39" s="1"/>
  <c r="P35" i="39"/>
  <c r="O35" i="39"/>
  <c r="M35" i="39"/>
  <c r="F35" i="39"/>
  <c r="P34" i="39"/>
  <c r="O34" i="39"/>
  <c r="M34" i="39"/>
  <c r="F34" i="39"/>
  <c r="G34" i="39" s="1"/>
  <c r="H34" i="39" s="1"/>
  <c r="O33" i="39"/>
  <c r="F33" i="39"/>
  <c r="O32" i="39"/>
  <c r="F32" i="39"/>
  <c r="G32" i="39" s="1"/>
  <c r="H32" i="39" s="1"/>
  <c r="P31" i="39"/>
  <c r="O31" i="39"/>
  <c r="M31" i="39"/>
  <c r="G31" i="39"/>
  <c r="H31" i="39" s="1"/>
  <c r="F31" i="39"/>
  <c r="P30" i="39"/>
  <c r="O30" i="39"/>
  <c r="M30" i="39"/>
  <c r="F30" i="39"/>
  <c r="G30" i="39" s="1"/>
  <c r="H30" i="39" s="1"/>
  <c r="P29" i="39"/>
  <c r="O29" i="39"/>
  <c r="M29" i="39"/>
  <c r="F29" i="39"/>
  <c r="G29" i="39" s="1"/>
  <c r="H29" i="39" s="1"/>
  <c r="P28" i="39"/>
  <c r="O28" i="39"/>
  <c r="M28" i="39"/>
  <c r="F28" i="39"/>
  <c r="G28" i="39" s="1"/>
  <c r="H28" i="39" s="1"/>
  <c r="P27" i="39"/>
  <c r="O27" i="39"/>
  <c r="M27" i="39"/>
  <c r="G27" i="39"/>
  <c r="H27" i="39" s="1"/>
  <c r="F27" i="39"/>
  <c r="O26" i="39"/>
  <c r="F26" i="39"/>
  <c r="O25" i="39"/>
  <c r="F25" i="39"/>
  <c r="G25" i="39" s="1"/>
  <c r="H25" i="39" s="1"/>
  <c r="P24" i="39"/>
  <c r="O24" i="39"/>
  <c r="M24" i="39"/>
  <c r="G24" i="39"/>
  <c r="H24" i="39" s="1"/>
  <c r="F24" i="39"/>
  <c r="P23" i="39"/>
  <c r="O23" i="39"/>
  <c r="M23" i="39"/>
  <c r="F23" i="39"/>
  <c r="G23" i="39" s="1"/>
  <c r="H23" i="39" s="1"/>
  <c r="P22" i="39"/>
  <c r="O22" i="39"/>
  <c r="M22" i="39"/>
  <c r="G22" i="39"/>
  <c r="H22" i="39" s="1"/>
  <c r="F22" i="39"/>
  <c r="P21" i="39"/>
  <c r="O21" i="39"/>
  <c r="M21" i="39"/>
  <c r="G21" i="39"/>
  <c r="H21" i="39" s="1"/>
  <c r="F21" i="39"/>
  <c r="P20" i="39"/>
  <c r="O20" i="39"/>
  <c r="M20" i="39"/>
  <c r="G20" i="39"/>
  <c r="H20" i="39" s="1"/>
  <c r="F20" i="39"/>
  <c r="O19" i="39"/>
  <c r="G19" i="39"/>
  <c r="H19" i="39" s="1"/>
  <c r="F19" i="39"/>
  <c r="P18" i="39"/>
  <c r="O18" i="39"/>
  <c r="M18" i="39"/>
  <c r="G18" i="39"/>
  <c r="H18" i="39" s="1"/>
  <c r="F18" i="39"/>
  <c r="P17" i="39"/>
  <c r="O17" i="39"/>
  <c r="M17" i="39"/>
  <c r="G17" i="39"/>
  <c r="H17" i="39" s="1"/>
  <c r="F17" i="39"/>
  <c r="P16" i="39"/>
  <c r="O16" i="39"/>
  <c r="M16" i="39"/>
  <c r="G16" i="39"/>
  <c r="H16" i="39" s="1"/>
  <c r="F16" i="39"/>
  <c r="O15" i="39"/>
  <c r="G15" i="39"/>
  <c r="H15" i="39" s="1"/>
  <c r="F15" i="39"/>
  <c r="P14" i="39"/>
  <c r="O14" i="39"/>
  <c r="M14" i="39"/>
  <c r="H14" i="39"/>
  <c r="G14" i="39"/>
  <c r="F14" i="39"/>
  <c r="P13" i="39"/>
  <c r="O13" i="39"/>
  <c r="M13" i="39"/>
  <c r="H13" i="39"/>
  <c r="G13" i="39"/>
  <c r="F13" i="39"/>
  <c r="P12" i="39"/>
  <c r="O12" i="39"/>
  <c r="M12" i="39"/>
  <c r="H12" i="39"/>
  <c r="G12" i="39"/>
  <c r="F12" i="39"/>
  <c r="P11" i="39"/>
  <c r="O11" i="39"/>
  <c r="M11" i="39"/>
  <c r="H11" i="39"/>
  <c r="G11" i="39"/>
  <c r="F11" i="39"/>
  <c r="P10" i="39"/>
  <c r="O10" i="39"/>
  <c r="M10" i="39"/>
  <c r="H10" i="39"/>
  <c r="G10" i="39"/>
  <c r="F10" i="39"/>
  <c r="P9" i="39"/>
  <c r="O9" i="39"/>
  <c r="M9" i="39"/>
  <c r="H9" i="39"/>
  <c r="G9" i="39"/>
  <c r="F9" i="39"/>
  <c r="P8" i="39"/>
  <c r="O8" i="39"/>
  <c r="M8" i="39"/>
  <c r="H8" i="39"/>
  <c r="G8" i="39"/>
  <c r="F8" i="39"/>
  <c r="P7" i="39"/>
  <c r="O7" i="39"/>
  <c r="M7" i="39"/>
  <c r="H7" i="39"/>
  <c r="G7" i="39"/>
  <c r="F7" i="39"/>
  <c r="P6" i="39"/>
  <c r="O6" i="39"/>
  <c r="M6" i="39"/>
  <c r="H6" i="39"/>
  <c r="G6" i="39"/>
  <c r="F6" i="39"/>
  <c r="O5" i="39"/>
  <c r="H5" i="39"/>
  <c r="G5" i="39"/>
  <c r="F5" i="39"/>
  <c r="O4" i="39"/>
  <c r="H4" i="39"/>
  <c r="G4" i="39"/>
  <c r="F4" i="39"/>
  <c r="O3" i="39"/>
  <c r="H3" i="39"/>
  <c r="G3" i="39"/>
  <c r="F3" i="39"/>
  <c r="H2" i="39"/>
  <c r="G2" i="39"/>
  <c r="P31" i="6"/>
  <c r="O31" i="6"/>
  <c r="M31" i="6"/>
  <c r="P30" i="6"/>
  <c r="O30" i="6"/>
  <c r="M30" i="6"/>
  <c r="P29" i="6"/>
  <c r="O29" i="6"/>
  <c r="M29" i="6"/>
  <c r="P28" i="6"/>
  <c r="O28" i="6"/>
  <c r="M28" i="6"/>
  <c r="P27" i="6"/>
  <c r="O27" i="6"/>
  <c r="M27" i="6"/>
  <c r="P26" i="6"/>
  <c r="O26" i="6"/>
  <c r="M26" i="6"/>
  <c r="P25" i="6"/>
  <c r="O25" i="6"/>
  <c r="M25" i="6"/>
  <c r="P24" i="6"/>
  <c r="O24" i="6"/>
  <c r="M24" i="6"/>
  <c r="P23" i="6"/>
  <c r="O23" i="6"/>
  <c r="M23" i="6"/>
  <c r="P22" i="6"/>
  <c r="O22" i="6"/>
  <c r="M22" i="6"/>
  <c r="P21" i="6"/>
  <c r="O21" i="6"/>
  <c r="M21" i="6"/>
  <c r="P20" i="6"/>
  <c r="O20" i="6"/>
  <c r="M20" i="6"/>
  <c r="P19" i="6"/>
  <c r="O19" i="6"/>
  <c r="M19" i="6"/>
  <c r="P18" i="6"/>
  <c r="O18" i="6"/>
  <c r="M18" i="6"/>
  <c r="P17" i="6"/>
  <c r="O17" i="6"/>
  <c r="M17" i="6"/>
  <c r="P16" i="6"/>
  <c r="O16" i="6"/>
  <c r="M16" i="6"/>
  <c r="P15" i="6"/>
  <c r="O15" i="6"/>
  <c r="M15" i="6"/>
  <c r="P14" i="6"/>
  <c r="O14" i="6"/>
  <c r="M14" i="6"/>
  <c r="P13" i="6"/>
  <c r="O13" i="6"/>
  <c r="M13" i="6"/>
  <c r="P12" i="6"/>
  <c r="O12" i="6"/>
  <c r="M12" i="6"/>
  <c r="P11" i="6"/>
  <c r="O11" i="6"/>
  <c r="M11" i="6"/>
  <c r="P10" i="6"/>
  <c r="O10" i="6"/>
  <c r="M10" i="6"/>
  <c r="P9" i="6"/>
  <c r="O9" i="6"/>
  <c r="M9" i="6"/>
  <c r="P8" i="6"/>
  <c r="O8" i="6"/>
  <c r="M8" i="6"/>
  <c r="P7" i="6"/>
  <c r="O7" i="6"/>
  <c r="M7" i="6"/>
  <c r="P6" i="6"/>
  <c r="O6" i="6"/>
  <c r="M6" i="6"/>
  <c r="P5" i="6"/>
  <c r="O5" i="6"/>
  <c r="M5" i="6"/>
  <c r="P4" i="6"/>
  <c r="O4" i="6"/>
  <c r="M4" i="6"/>
  <c r="P3" i="6"/>
  <c r="O3" i="6"/>
  <c r="M3" i="6"/>
  <c r="P39" i="43"/>
  <c r="O39" i="43"/>
  <c r="M39" i="43"/>
  <c r="L39" i="43"/>
  <c r="J39" i="43"/>
  <c r="F39" i="43"/>
  <c r="G39" i="43" s="1"/>
  <c r="H39" i="43" s="1"/>
  <c r="O38" i="43"/>
  <c r="F38" i="43"/>
  <c r="G38" i="43" s="1"/>
  <c r="H38" i="43" s="1"/>
  <c r="I38" i="43" s="1"/>
  <c r="O37" i="43"/>
  <c r="F37" i="43"/>
  <c r="G37" i="43" s="1"/>
  <c r="H37" i="43" s="1"/>
  <c r="I37" i="43" s="1"/>
  <c r="O36" i="43"/>
  <c r="F36" i="43"/>
  <c r="G36" i="43" s="1"/>
  <c r="H36" i="43" s="1"/>
  <c r="I36" i="43" s="1"/>
  <c r="O35" i="43"/>
  <c r="F35" i="43"/>
  <c r="G35" i="43" s="1"/>
  <c r="H35" i="43" s="1"/>
  <c r="I35" i="43" s="1"/>
  <c r="O34" i="43"/>
  <c r="F34" i="43"/>
  <c r="G34" i="43" s="1"/>
  <c r="H34" i="43" s="1"/>
  <c r="I34" i="43" s="1"/>
  <c r="O33" i="43"/>
  <c r="F33" i="43"/>
  <c r="G33" i="43" s="1"/>
  <c r="H33" i="43" s="1"/>
  <c r="I33" i="43" s="1"/>
  <c r="O32" i="43"/>
  <c r="F32" i="43"/>
  <c r="G32" i="43" s="1"/>
  <c r="H32" i="43" s="1"/>
  <c r="I32" i="43" s="1"/>
  <c r="O31" i="43"/>
  <c r="F31" i="43"/>
  <c r="G31" i="43" s="1"/>
  <c r="H31" i="43" s="1"/>
  <c r="I31" i="43" s="1"/>
  <c r="O30" i="43"/>
  <c r="F30" i="43"/>
  <c r="G30" i="43" s="1"/>
  <c r="H30" i="43" s="1"/>
  <c r="I30" i="43" s="1"/>
  <c r="O29" i="43"/>
  <c r="F29" i="43"/>
  <c r="G29" i="43" s="1"/>
  <c r="H29" i="43" s="1"/>
  <c r="I29" i="43" s="1"/>
  <c r="P28" i="43"/>
  <c r="O28" i="43"/>
  <c r="M28" i="43"/>
  <c r="F28" i="43"/>
  <c r="G28" i="43" s="1"/>
  <c r="H28" i="43" s="1"/>
  <c r="P27" i="43"/>
  <c r="O27" i="43"/>
  <c r="M27" i="43"/>
  <c r="F27" i="43"/>
  <c r="G27" i="43" s="1"/>
  <c r="H27" i="43" s="1"/>
  <c r="O26" i="43"/>
  <c r="F26" i="43"/>
  <c r="G26" i="43" s="1"/>
  <c r="H26" i="43" s="1"/>
  <c r="O25" i="43"/>
  <c r="F25" i="43"/>
  <c r="G25" i="43" s="1"/>
  <c r="H25" i="43" s="1"/>
  <c r="O24" i="43"/>
  <c r="F24" i="43"/>
  <c r="G24" i="43" s="1"/>
  <c r="H24" i="43" s="1"/>
  <c r="O23" i="43"/>
  <c r="G23" i="43"/>
  <c r="H23" i="43" s="1"/>
  <c r="F23" i="43"/>
  <c r="P22" i="43"/>
  <c r="O22" i="43"/>
  <c r="M22" i="43"/>
  <c r="G22" i="43"/>
  <c r="H22" i="43" s="1"/>
  <c r="F22" i="43"/>
  <c r="P21" i="43"/>
  <c r="O21" i="43"/>
  <c r="M21" i="43"/>
  <c r="G21" i="43"/>
  <c r="H21" i="43" s="1"/>
  <c r="F21" i="43"/>
  <c r="P20" i="43"/>
  <c r="O20" i="43"/>
  <c r="M20" i="43"/>
  <c r="G20" i="43"/>
  <c r="H20" i="43" s="1"/>
  <c r="F20" i="43"/>
  <c r="P19" i="43"/>
  <c r="O19" i="43"/>
  <c r="M19" i="43"/>
  <c r="G19" i="43"/>
  <c r="H19" i="43" s="1"/>
  <c r="F19" i="43"/>
  <c r="P18" i="43"/>
  <c r="O18" i="43"/>
  <c r="M18" i="43"/>
  <c r="G18" i="43"/>
  <c r="H18" i="43" s="1"/>
  <c r="F18" i="43"/>
  <c r="P17" i="43"/>
  <c r="O17" i="43"/>
  <c r="M17" i="43"/>
  <c r="G17" i="43"/>
  <c r="H17" i="43" s="1"/>
  <c r="F17" i="43"/>
  <c r="P16" i="43"/>
  <c r="O16" i="43"/>
  <c r="M16" i="43"/>
  <c r="H16" i="43"/>
  <c r="G16" i="43"/>
  <c r="F16" i="43"/>
  <c r="P15" i="43"/>
  <c r="O15" i="43"/>
  <c r="M15" i="43"/>
  <c r="H15" i="43"/>
  <c r="G15" i="43"/>
  <c r="F15" i="43"/>
  <c r="P14" i="43"/>
  <c r="O14" i="43"/>
  <c r="M14" i="43"/>
  <c r="G14" i="43"/>
  <c r="H14" i="43" s="1"/>
  <c r="F14" i="43"/>
  <c r="P13" i="43"/>
  <c r="O13" i="43"/>
  <c r="M13" i="43"/>
  <c r="H13" i="43"/>
  <c r="G13" i="43"/>
  <c r="F13" i="43"/>
  <c r="P12" i="43"/>
  <c r="O12" i="43"/>
  <c r="M12" i="43"/>
  <c r="H12" i="43"/>
  <c r="G12" i="43"/>
  <c r="F12" i="43"/>
  <c r="P11" i="43"/>
  <c r="O11" i="43"/>
  <c r="M11" i="43"/>
  <c r="H11" i="43"/>
  <c r="G11" i="43"/>
  <c r="F11" i="43"/>
  <c r="P10" i="43"/>
  <c r="O10" i="43"/>
  <c r="M10" i="43"/>
  <c r="H10" i="43"/>
  <c r="G10" i="43"/>
  <c r="F10" i="43"/>
  <c r="P9" i="43"/>
  <c r="O9" i="43"/>
  <c r="M9" i="43"/>
  <c r="H9" i="43"/>
  <c r="G9" i="43"/>
  <c r="F9" i="43"/>
  <c r="P8" i="43"/>
  <c r="O8" i="43"/>
  <c r="M8" i="43"/>
  <c r="H8" i="43"/>
  <c r="G8" i="43"/>
  <c r="F8" i="43"/>
  <c r="P7" i="43"/>
  <c r="O7" i="43"/>
  <c r="M7" i="43"/>
  <c r="H7" i="43"/>
  <c r="G7" i="43"/>
  <c r="F7" i="43"/>
  <c r="P6" i="43"/>
  <c r="O6" i="43"/>
  <c r="H6" i="43"/>
  <c r="G6" i="43"/>
  <c r="F6" i="43"/>
  <c r="P5" i="43"/>
  <c r="O5" i="43"/>
  <c r="H5" i="43"/>
  <c r="G5" i="43"/>
  <c r="F5" i="43"/>
  <c r="O4" i="43"/>
  <c r="G4" i="43"/>
  <c r="H4" i="43" s="1"/>
  <c r="F4" i="43"/>
  <c r="O3" i="43"/>
  <c r="H3" i="43"/>
  <c r="G3" i="43"/>
  <c r="F3" i="43"/>
  <c r="H2" i="43"/>
  <c r="G2" i="43"/>
  <c r="H24" i="1"/>
  <c r="G24" i="1"/>
  <c r="F24" i="1"/>
  <c r="I23" i="1"/>
  <c r="H23" i="1"/>
  <c r="G23" i="1"/>
  <c r="F23" i="1"/>
  <c r="I22" i="1"/>
  <c r="H22" i="1"/>
  <c r="G22" i="1"/>
  <c r="F22" i="1"/>
  <c r="H21" i="1"/>
  <c r="G21" i="1"/>
  <c r="F21" i="1"/>
  <c r="H20" i="1"/>
  <c r="G20" i="1"/>
  <c r="F20" i="1"/>
  <c r="I19" i="1"/>
  <c r="H19" i="1"/>
  <c r="G19" i="1"/>
  <c r="F19" i="1"/>
  <c r="I18" i="1"/>
  <c r="H18" i="1"/>
  <c r="G18" i="1"/>
  <c r="F18" i="1"/>
  <c r="H17" i="1"/>
  <c r="G17" i="1"/>
  <c r="F17" i="1"/>
  <c r="H16" i="1"/>
  <c r="G16" i="1"/>
  <c r="F16" i="1"/>
  <c r="H15" i="1"/>
  <c r="G15" i="1"/>
  <c r="F15" i="1"/>
  <c r="H14" i="1"/>
  <c r="G14" i="1"/>
  <c r="F14" i="1"/>
  <c r="H13" i="1"/>
  <c r="G13" i="1"/>
  <c r="F13" i="1"/>
  <c r="H12" i="1"/>
  <c r="G12" i="1"/>
  <c r="F12" i="1"/>
  <c r="I11" i="1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I6" i="1"/>
  <c r="H6" i="1"/>
  <c r="G6" i="1"/>
  <c r="F6" i="1"/>
  <c r="I5" i="1"/>
  <c r="H5" i="1"/>
  <c r="G5" i="1"/>
  <c r="F5" i="1"/>
  <c r="I4" i="1"/>
  <c r="H4" i="1"/>
  <c r="G4" i="1"/>
  <c r="F4" i="1"/>
  <c r="I3" i="1"/>
  <c r="H3" i="1"/>
  <c r="G3" i="1"/>
  <c r="F3" i="1"/>
  <c r="H2" i="1"/>
  <c r="G2" i="1"/>
  <c r="L6" i="1" l="1"/>
  <c r="M6" i="1" s="1"/>
  <c r="K5" i="1"/>
  <c r="P29" i="43"/>
  <c r="J29" i="43"/>
  <c r="P30" i="43"/>
  <c r="J30" i="43"/>
  <c r="P31" i="43"/>
  <c r="J31" i="43"/>
  <c r="P32" i="43"/>
  <c r="J32" i="43"/>
  <c r="P33" i="43"/>
  <c r="J33" i="43"/>
  <c r="P34" i="43"/>
  <c r="J34" i="43"/>
  <c r="P35" i="43"/>
  <c r="J35" i="43"/>
  <c r="P36" i="43"/>
  <c r="J36" i="43"/>
  <c r="P37" i="43"/>
  <c r="J37" i="43"/>
  <c r="P38" i="43"/>
  <c r="J38" i="43"/>
  <c r="K38" i="43" s="1"/>
  <c r="L38" i="43" s="1"/>
  <c r="M38" i="43" s="1"/>
  <c r="I26" i="43"/>
  <c r="I25" i="43" s="1"/>
  <c r="P26" i="43"/>
  <c r="J26" i="43"/>
  <c r="G26" i="39"/>
  <c r="H26" i="39" s="1"/>
  <c r="P44" i="39"/>
  <c r="J44" i="39"/>
  <c r="P45" i="39"/>
  <c r="J45" i="39"/>
  <c r="P46" i="39"/>
  <c r="J46" i="39"/>
  <c r="K46" i="39" s="1"/>
  <c r="L46" i="39" s="1"/>
  <c r="M46" i="39" s="1"/>
  <c r="G33" i="39"/>
  <c r="H33" i="39" s="1"/>
  <c r="G35" i="39"/>
  <c r="H35" i="39" s="1"/>
  <c r="G37" i="39"/>
  <c r="H37" i="39" s="1"/>
  <c r="G39" i="39"/>
  <c r="H39" i="39" s="1"/>
  <c r="G41" i="39"/>
  <c r="H41" i="39" s="1"/>
  <c r="G43" i="39"/>
  <c r="H43" i="39" s="1"/>
  <c r="I43" i="39" s="1"/>
  <c r="I42" i="39" s="1"/>
  <c r="P24" i="40"/>
  <c r="J24" i="40"/>
  <c r="G9" i="40"/>
  <c r="H9" i="40" s="1"/>
  <c r="G11" i="40"/>
  <c r="H11" i="40" s="1"/>
  <c r="G15" i="40"/>
  <c r="H15" i="40" s="1"/>
  <c r="G21" i="40"/>
  <c r="H21" i="40" s="1"/>
  <c r="G23" i="40"/>
  <c r="H23" i="40" s="1"/>
  <c r="I23" i="40" s="1"/>
  <c r="L5" i="1" l="1"/>
  <c r="M5" i="1" s="1"/>
  <c r="K4" i="1"/>
  <c r="K37" i="43"/>
  <c r="L37" i="43" s="1"/>
  <c r="M37" i="43" s="1"/>
  <c r="K36" i="43"/>
  <c r="L36" i="43" s="1"/>
  <c r="M36" i="43" s="1"/>
  <c r="J25" i="43"/>
  <c r="I24" i="43"/>
  <c r="P25" i="43"/>
  <c r="P42" i="39"/>
  <c r="J42" i="39"/>
  <c r="I41" i="39"/>
  <c r="P43" i="39"/>
  <c r="J43" i="39"/>
  <c r="K45" i="39"/>
  <c r="L45" i="39" s="1"/>
  <c r="M45" i="39" s="1"/>
  <c r="K44" i="39"/>
  <c r="L44" i="39" s="1"/>
  <c r="M44" i="39" s="1"/>
  <c r="P23" i="40"/>
  <c r="J23" i="40"/>
  <c r="K23" i="40" s="1"/>
  <c r="L23" i="40" s="1"/>
  <c r="M23" i="40" s="1"/>
  <c r="I22" i="40"/>
  <c r="L4" i="1" l="1"/>
  <c r="M4" i="1" s="1"/>
  <c r="K3" i="1"/>
  <c r="L3" i="1" s="1"/>
  <c r="M3" i="1" s="1"/>
  <c r="K35" i="43"/>
  <c r="I23" i="43"/>
  <c r="P24" i="43"/>
  <c r="J24" i="43"/>
  <c r="P41" i="39"/>
  <c r="J41" i="39"/>
  <c r="I40" i="39"/>
  <c r="K43" i="39"/>
  <c r="L43" i="39" s="1"/>
  <c r="M43" i="39" s="1"/>
  <c r="K42" i="39"/>
  <c r="L42" i="39" s="1"/>
  <c r="M42" i="39" s="1"/>
  <c r="P22" i="40"/>
  <c r="J22" i="40"/>
  <c r="K22" i="40" s="1"/>
  <c r="L22" i="40" s="1"/>
  <c r="M22" i="40" s="1"/>
  <c r="I21" i="40"/>
  <c r="L35" i="43" l="1"/>
  <c r="M35" i="43" s="1"/>
  <c r="K34" i="43"/>
  <c r="J23" i="43"/>
  <c r="I4" i="43"/>
  <c r="P40" i="39"/>
  <c r="J40" i="39"/>
  <c r="I39" i="39"/>
  <c r="K41" i="39"/>
  <c r="L41" i="39" s="1"/>
  <c r="M41" i="39" s="1"/>
  <c r="P21" i="40"/>
  <c r="J21" i="40"/>
  <c r="K21" i="40" s="1"/>
  <c r="L21" i="40" s="1"/>
  <c r="M21" i="40" s="1"/>
  <c r="I20" i="40"/>
  <c r="L34" i="43" l="1"/>
  <c r="M34" i="43" s="1"/>
  <c r="K33" i="43"/>
  <c r="P3" i="43"/>
  <c r="J4" i="43"/>
  <c r="P4" i="43"/>
  <c r="I3" i="43"/>
  <c r="J3" i="43" s="1"/>
  <c r="P39" i="39"/>
  <c r="J39" i="39"/>
  <c r="I33" i="39"/>
  <c r="K40" i="39"/>
  <c r="L40" i="39" s="1"/>
  <c r="M40" i="39" s="1"/>
  <c r="P20" i="40"/>
  <c r="J20" i="40"/>
  <c r="K20" i="40" s="1"/>
  <c r="L20" i="40" s="1"/>
  <c r="M20" i="40" s="1"/>
  <c r="I19" i="40"/>
  <c r="L33" i="43" l="1"/>
  <c r="M33" i="43" s="1"/>
  <c r="K32" i="43"/>
  <c r="P33" i="39"/>
  <c r="J33" i="39"/>
  <c r="I32" i="39"/>
  <c r="K39" i="39"/>
  <c r="L39" i="39" s="1"/>
  <c r="M39" i="39" s="1"/>
  <c r="P19" i="40"/>
  <c r="J19" i="40"/>
  <c r="K19" i="40" s="1"/>
  <c r="L19" i="40" s="1"/>
  <c r="M19" i="40" s="1"/>
  <c r="I18" i="40"/>
  <c r="L32" i="43" l="1"/>
  <c r="M32" i="43" s="1"/>
  <c r="K31" i="43"/>
  <c r="J32" i="39"/>
  <c r="I26" i="39"/>
  <c r="K33" i="39"/>
  <c r="L33" i="39" s="1"/>
  <c r="M33" i="39" s="1"/>
  <c r="P18" i="40"/>
  <c r="J18" i="40"/>
  <c r="K18" i="40" s="1"/>
  <c r="L18" i="40" s="1"/>
  <c r="M18" i="40" s="1"/>
  <c r="I17" i="40"/>
  <c r="L31" i="43" l="1"/>
  <c r="M31" i="43" s="1"/>
  <c r="K30" i="43"/>
  <c r="K32" i="39"/>
  <c r="L32" i="39" s="1"/>
  <c r="M32" i="39" s="1"/>
  <c r="J26" i="39"/>
  <c r="P26" i="39"/>
  <c r="I25" i="39"/>
  <c r="P17" i="40"/>
  <c r="J17" i="40"/>
  <c r="K17" i="40" s="1"/>
  <c r="L17" i="40" s="1"/>
  <c r="M17" i="40" s="1"/>
  <c r="I16" i="40"/>
  <c r="L30" i="43" l="1"/>
  <c r="M30" i="43" s="1"/>
  <c r="K29" i="43"/>
  <c r="J25" i="39"/>
  <c r="P25" i="39"/>
  <c r="I19" i="39"/>
  <c r="K26" i="39"/>
  <c r="L26" i="39" s="1"/>
  <c r="M26" i="39" s="1"/>
  <c r="P16" i="40"/>
  <c r="J16" i="40"/>
  <c r="K16" i="40" s="1"/>
  <c r="L16" i="40" s="1"/>
  <c r="M16" i="40" s="1"/>
  <c r="I15" i="40"/>
  <c r="L29" i="43" l="1"/>
  <c r="M29" i="43" s="1"/>
  <c r="K26" i="43"/>
  <c r="K25" i="39"/>
  <c r="L25" i="39" s="1"/>
  <c r="M25" i="39" s="1"/>
  <c r="J19" i="39"/>
  <c r="I15" i="39"/>
  <c r="P15" i="40"/>
  <c r="J15" i="40"/>
  <c r="K15" i="40" s="1"/>
  <c r="L15" i="40" s="1"/>
  <c r="M15" i="40" s="1"/>
  <c r="I14" i="40"/>
  <c r="L26" i="43" l="1"/>
  <c r="M26" i="43" s="1"/>
  <c r="K25" i="43"/>
  <c r="K19" i="39"/>
  <c r="L19" i="39" s="1"/>
  <c r="I5" i="39"/>
  <c r="J15" i="39"/>
  <c r="K15" i="39" s="1"/>
  <c r="L15" i="39" s="1"/>
  <c r="P14" i="40"/>
  <c r="J14" i="40"/>
  <c r="K14" i="40" s="1"/>
  <c r="L14" i="40" s="1"/>
  <c r="M14" i="40" s="1"/>
  <c r="I13" i="40"/>
  <c r="L25" i="43" l="1"/>
  <c r="M25" i="43" s="1"/>
  <c r="K24" i="43"/>
  <c r="J5" i="39"/>
  <c r="K5" i="39" s="1"/>
  <c r="L5" i="39" s="1"/>
  <c r="M5" i="39" s="1"/>
  <c r="I4" i="39"/>
  <c r="P13" i="40"/>
  <c r="J13" i="40"/>
  <c r="K13" i="40" s="1"/>
  <c r="L13" i="40" s="1"/>
  <c r="M13" i="40" s="1"/>
  <c r="I12" i="40"/>
  <c r="L24" i="43" l="1"/>
  <c r="M24" i="43" s="1"/>
  <c r="K23" i="43"/>
  <c r="I3" i="39"/>
  <c r="J3" i="39" s="1"/>
  <c r="J4" i="39"/>
  <c r="K4" i="39" s="1"/>
  <c r="L4" i="39" s="1"/>
  <c r="M4" i="39" s="1"/>
  <c r="P4" i="39"/>
  <c r="P12" i="40"/>
  <c r="J12" i="40"/>
  <c r="K12" i="40" s="1"/>
  <c r="L12" i="40" s="1"/>
  <c r="M12" i="40" s="1"/>
  <c r="I11" i="40"/>
  <c r="L23" i="43" l="1"/>
  <c r="M23" i="43" s="1"/>
  <c r="K4" i="43"/>
  <c r="K3" i="39"/>
  <c r="L3" i="39" s="1"/>
  <c r="M3" i="39" s="1"/>
  <c r="P11" i="40"/>
  <c r="J11" i="40"/>
  <c r="K11" i="40" s="1"/>
  <c r="L11" i="40" s="1"/>
  <c r="M11" i="40" s="1"/>
  <c r="I10" i="40"/>
  <c r="L4" i="43" l="1"/>
  <c r="M4" i="43" s="1"/>
  <c r="K3" i="43"/>
  <c r="L3" i="43" s="1"/>
  <c r="M3" i="43" s="1"/>
  <c r="P10" i="40"/>
  <c r="J10" i="40"/>
  <c r="K10" i="40" s="1"/>
  <c r="L10" i="40" s="1"/>
  <c r="M10" i="40" s="1"/>
  <c r="I9" i="40"/>
  <c r="P9" i="40" l="1"/>
  <c r="J9" i="40"/>
  <c r="K9" i="40" s="1"/>
  <c r="L9" i="40" s="1"/>
  <c r="M9" i="40" s="1"/>
  <c r="I8" i="40"/>
  <c r="P8" i="40" l="1"/>
  <c r="J8" i="40"/>
  <c r="K8" i="40" s="1"/>
  <c r="L8" i="40" s="1"/>
  <c r="M8" i="40" s="1"/>
  <c r="I7" i="40"/>
  <c r="P7" i="40" l="1"/>
  <c r="J7" i="40"/>
  <c r="K7" i="40" s="1"/>
  <c r="L7" i="40" s="1"/>
  <c r="M7" i="40" s="1"/>
  <c r="I6" i="40"/>
  <c r="J6" i="40" l="1"/>
  <c r="K6" i="40" s="1"/>
  <c r="L6" i="40" s="1"/>
  <c r="M6" i="40" s="1"/>
  <c r="P6" i="40"/>
  <c r="I5" i="40"/>
  <c r="J5" i="40" l="1"/>
  <c r="K5" i="40" s="1"/>
  <c r="L5" i="40" s="1"/>
  <c r="M5" i="40" s="1"/>
  <c r="P5" i="40"/>
  <c r="I4" i="40"/>
  <c r="J4" i="40" l="1"/>
  <c r="K4" i="40" s="1"/>
  <c r="L4" i="40" s="1"/>
  <c r="M4" i="40" s="1"/>
  <c r="P4" i="40"/>
  <c r="P3" i="40"/>
  <c r="I3" i="40"/>
  <c r="J3" i="40" s="1"/>
  <c r="K3" i="40" s="1"/>
  <c r="L3" i="40" s="1"/>
  <c r="M3" i="40" s="1"/>
</calcChain>
</file>

<file path=xl/sharedStrings.xml><?xml version="1.0" encoding="utf-8"?>
<sst xmlns="http://schemas.openxmlformats.org/spreadsheetml/2006/main" count="674" uniqueCount="80">
  <si>
    <t>Direk No</t>
  </si>
  <si>
    <t>Hat No</t>
  </si>
  <si>
    <t>Mesafe</t>
  </si>
  <si>
    <t>Kat Sayısı</t>
  </si>
  <si>
    <t>Güç Yoğunluğu</t>
  </si>
  <si>
    <t>Hat Gücü</t>
  </si>
  <si>
    <t>Direk Gücü</t>
  </si>
  <si>
    <t>Direk Akımı</t>
  </si>
  <si>
    <t>Hat Akımı</t>
  </si>
  <si>
    <t>Moment</t>
  </si>
  <si>
    <t>Toplam Moment</t>
  </si>
  <si>
    <t>Kesit</t>
  </si>
  <si>
    <t>Önerilen Hat tertibi</t>
  </si>
  <si>
    <t>Tercih edilen Hat tertibi</t>
  </si>
  <si>
    <t>Hat Seçimi</t>
  </si>
  <si>
    <t>Isıya göre kontrol</t>
  </si>
  <si>
    <t>TR1_1</t>
  </si>
  <si>
    <t>TR1_2</t>
  </si>
  <si>
    <t>TR1_3</t>
  </si>
  <si>
    <t>UYGUNDUR</t>
  </si>
  <si>
    <t>Hat no</t>
  </si>
  <si>
    <t>Hat gücü</t>
  </si>
  <si>
    <t>kutu Gücü</t>
  </si>
  <si>
    <t>kutu Akımı</t>
  </si>
  <si>
    <t>hat akımı</t>
  </si>
  <si>
    <t>TR1_4</t>
  </si>
  <si>
    <t>3 x Iris + Rose/Lily</t>
  </si>
  <si>
    <t xml:space="preserve"> UYGUNDUR</t>
  </si>
  <si>
    <t>5 x Rose</t>
  </si>
  <si>
    <t>Önerilen Tertibi</t>
  </si>
  <si>
    <t>Tercih Edilen Hat Tertibi</t>
  </si>
  <si>
    <t>Isıya Göre Kontrol</t>
  </si>
  <si>
    <t>TR2 - 1</t>
  </si>
  <si>
    <t>TR2-2</t>
  </si>
  <si>
    <t>RT2_3</t>
  </si>
  <si>
    <t>5xR</t>
  </si>
  <si>
    <t>3 x Lily + Rose/Lily</t>
  </si>
  <si>
    <t>3xL+R/L</t>
  </si>
  <si>
    <t>3xI+R/L</t>
  </si>
  <si>
    <t>3xPansy + Rose/Iris</t>
  </si>
  <si>
    <t>3xP+R/I</t>
  </si>
  <si>
    <t>3xPoppy+Rose/Pansy</t>
  </si>
  <si>
    <t>3xPo+R/P</t>
  </si>
  <si>
    <t>3xAster+Rose/Pansy</t>
  </si>
  <si>
    <t>3xA+R/P</t>
  </si>
  <si>
    <t>3xPhlox + Rose/Poppy</t>
  </si>
  <si>
    <t>3xPh+R/Po</t>
  </si>
  <si>
    <t>3xOxlip+Rose/Aster</t>
  </si>
  <si>
    <t>3xO+R/A</t>
  </si>
  <si>
    <t>3x16+10/16 mm2</t>
  </si>
  <si>
    <t>3x25+10/25 mm2</t>
  </si>
  <si>
    <t>3x35+10/25 mm2</t>
  </si>
  <si>
    <t>3x50+10/35 mm2</t>
  </si>
  <si>
    <t>3x70+10/50 mm2</t>
  </si>
  <si>
    <t>3x95+10/50 mm2</t>
  </si>
  <si>
    <t>Swallow</t>
  </si>
  <si>
    <t>26,69/4,45</t>
  </si>
  <si>
    <t>Raven</t>
  </si>
  <si>
    <t>53,52/8,92</t>
  </si>
  <si>
    <t>Pigeon</t>
  </si>
  <si>
    <t>85,12/14,18</t>
  </si>
  <si>
    <t>Partridge</t>
  </si>
  <si>
    <t>134,87/22,00</t>
  </si>
  <si>
    <t>Hawk</t>
  </si>
  <si>
    <t>241,65/39,19</t>
  </si>
  <si>
    <t>AKTİF GÜÇ</t>
  </si>
  <si>
    <t>Branşman Noktasına İrca Edilen Yük</t>
  </si>
  <si>
    <t>Hat Yükleri (m)</t>
  </si>
  <si>
    <t>Güç Yoğunluğu (J)</t>
  </si>
  <si>
    <t>Ktri</t>
  </si>
  <si>
    <t>%e</t>
  </si>
  <si>
    <t>Toplam %e =   3.32522082  &lt; 5   uygundur</t>
  </si>
  <si>
    <t>Toplam %e =   5  = 5   uygundur</t>
  </si>
  <si>
    <t>Toplam %e =   1.240185488 &lt;  5   uygundur</t>
  </si>
  <si>
    <t>Toplam %e =   5 =  5   uygundur</t>
  </si>
  <si>
    <t>Toplam %e = 2.092996969 &lt; 5   uygundur</t>
  </si>
  <si>
    <t>Toplam %e =  2.78437815 &lt; 5   uygundur</t>
  </si>
  <si>
    <t>16 mm²</t>
  </si>
  <si>
    <t>10 mm²</t>
  </si>
  <si>
    <t>Kmono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</si>
</sst>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Aptos Narrow"/>
      <charset val="178"/>
      <scheme val="minor"/>
    </font>
    <font>
      <sz val="10"/>
      <color rgb="FF000000"/>
      <name val="Arial"/>
      <family val="2"/>
    </font>
    <font>
      <sz val="10"/>
      <color rgb="FF000000"/>
      <name val="Aptos Display"/>
      <charset val="134"/>
      <scheme val="major"/>
    </font>
    <font>
      <sz val="11"/>
      <color theme="1"/>
      <name val="Aptos Narrow"/>
      <charset val="134"/>
      <scheme val="minor"/>
    </font>
    <font>
      <sz val="10"/>
      <color theme="1"/>
      <name val="Aptos Display"/>
      <charset val="134"/>
      <scheme val="major"/>
    </font>
    <font>
      <sz val="11"/>
      <color theme="1"/>
      <name val="Aptos Display"/>
      <charset val="134"/>
      <scheme val="maj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ptos Display"/>
      <scheme val="major"/>
    </font>
    <font>
      <sz val="11"/>
      <color theme="1"/>
      <name val="Aptos Display"/>
      <scheme val="major"/>
    </font>
    <font>
      <b/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8" fillId="0" borderId="0"/>
    <xf numFmtId="0" fontId="1" fillId="0" borderId="0"/>
    <xf numFmtId="0" fontId="9" fillId="0" borderId="0"/>
    <xf numFmtId="0" fontId="3" fillId="0" borderId="0"/>
    <xf numFmtId="0" fontId="1" fillId="0" borderId="0"/>
    <xf numFmtId="0" fontId="1" fillId="0" borderId="0"/>
  </cellStyleXfs>
  <cellXfs count="139">
    <xf numFmtId="0" fontId="0" fillId="0" borderId="0" xfId="0"/>
    <xf numFmtId="0" fontId="1" fillId="0" borderId="0" xfId="2" applyAlignment="1">
      <alignment horizontal="left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0" fillId="0" borderId="3" xfId="0" applyFont="1" applyFill="1" applyBorder="1" applyAlignment="1"/>
    <xf numFmtId="0" fontId="0" fillId="0" borderId="4" xfId="0" applyFont="1" applyFill="1" applyBorder="1" applyAlignment="1"/>
    <xf numFmtId="0" fontId="0" fillId="0" borderId="5" xfId="0" applyFont="1" applyFill="1" applyBorder="1" applyAlignment="1"/>
    <xf numFmtId="0" fontId="0" fillId="0" borderId="6" xfId="0" applyFont="1" applyFill="1" applyBorder="1" applyAlignment="1"/>
    <xf numFmtId="0" fontId="2" fillId="0" borderId="2" xfId="4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/>
    <xf numFmtId="0" fontId="3" fillId="0" borderId="8" xfId="0" applyFont="1" applyFill="1" applyBorder="1" applyAlignment="1"/>
    <xf numFmtId="0" fontId="3" fillId="0" borderId="6" xfId="0" applyFont="1" applyFill="1" applyBorder="1" applyAlignment="1"/>
    <xf numFmtId="0" fontId="3" fillId="0" borderId="9" xfId="0" applyFont="1" applyFill="1" applyBorder="1" applyAlignment="1"/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4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4" fillId="0" borderId="4" xfId="0" applyFont="1" applyFill="1" applyBorder="1" applyAlignment="1">
      <alignment horizontal="right"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6" xfId="0" applyFont="1" applyFill="1" applyBorder="1" applyAlignment="1">
      <alignment horizontal="right" wrapText="1"/>
    </xf>
    <xf numFmtId="0" fontId="4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right" wrapText="1"/>
    </xf>
    <xf numFmtId="0" fontId="0" fillId="0" borderId="0" xfId="0" applyBorder="1"/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6" fillId="0" borderId="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8" fillId="0" borderId="1" xfId="1" applyBorder="1" applyAlignment="1">
      <alignment horizontal="center" vertical="center" wrapText="1"/>
    </xf>
    <xf numFmtId="0" fontId="8" fillId="0" borderId="2" xfId="1" applyBorder="1" applyAlignment="1">
      <alignment horizontal="center" vertical="center" wrapText="1"/>
    </xf>
    <xf numFmtId="0" fontId="8" fillId="0" borderId="2" xfId="4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" fillId="0" borderId="4" xfId="4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6" xfId="4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Border="1"/>
    <xf numFmtId="0" fontId="3" fillId="0" borderId="0" xfId="4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4" xfId="4" applyFont="1" applyBorder="1" applyAlignment="1">
      <alignment horizontal="center" vertical="center" wrapText="1"/>
    </xf>
    <xf numFmtId="0" fontId="5" fillId="0" borderId="6" xfId="4" applyFont="1" applyBorder="1" applyAlignment="1">
      <alignment horizontal="center" vertical="center" wrapText="1"/>
    </xf>
    <xf numFmtId="0" fontId="8" fillId="0" borderId="4" xfId="1" applyBorder="1" applyAlignment="1">
      <alignment horizontal="center" vertical="center"/>
    </xf>
    <xf numFmtId="0" fontId="10" fillId="0" borderId="4" xfId="4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4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wrapText="1"/>
    </xf>
    <xf numFmtId="2" fontId="12" fillId="2" borderId="4" xfId="4" applyNumberFormat="1" applyFont="1" applyFill="1" applyBorder="1" applyAlignment="1">
      <alignment horizontal="center" vertical="center" wrapText="1"/>
    </xf>
    <xf numFmtId="2" fontId="3" fillId="0" borderId="4" xfId="4" applyNumberFormat="1" applyBorder="1" applyAlignment="1">
      <alignment horizontal="center" vertical="center"/>
    </xf>
    <xf numFmtId="2" fontId="3" fillId="0" borderId="4" xfId="4" applyNumberFormat="1" applyBorder="1" applyAlignment="1">
      <alignment horizontal="center" vertical="center" wrapText="1"/>
    </xf>
    <xf numFmtId="0" fontId="3" fillId="0" borderId="10" xfId="4" applyBorder="1" applyAlignment="1">
      <alignment vertical="center"/>
    </xf>
    <xf numFmtId="0" fontId="3" fillId="0" borderId="4" xfId="4" applyBorder="1" applyAlignment="1">
      <alignment horizontal="center" vertical="center"/>
    </xf>
    <xf numFmtId="0" fontId="3" fillId="0" borderId="10" xfId="4" applyBorder="1" applyAlignment="1">
      <alignment horizontal="center" vertical="center"/>
    </xf>
    <xf numFmtId="0" fontId="3" fillId="0" borderId="11" xfId="4" applyBorder="1" applyAlignment="1">
      <alignment horizontal="center" vertical="center"/>
    </xf>
    <xf numFmtId="2" fontId="3" fillId="0" borderId="4" xfId="4" applyNumberFormat="1" applyBorder="1" applyAlignment="1">
      <alignment horizontal="center" vertical="center"/>
    </xf>
    <xf numFmtId="0" fontId="3" fillId="0" borderId="12" xfId="4" applyBorder="1" applyAlignment="1">
      <alignment horizontal="center" vertical="center"/>
    </xf>
    <xf numFmtId="2" fontId="3" fillId="0" borderId="10" xfId="4" applyNumberFormat="1" applyBorder="1" applyAlignment="1">
      <alignment horizontal="center" vertical="center"/>
    </xf>
    <xf numFmtId="2" fontId="3" fillId="0" borderId="11" xfId="4" applyNumberFormat="1" applyBorder="1" applyAlignment="1">
      <alignment horizontal="center" vertical="center"/>
    </xf>
    <xf numFmtId="2" fontId="3" fillId="0" borderId="12" xfId="4" applyNumberFormat="1" applyBorder="1" applyAlignment="1">
      <alignment horizontal="center" vertical="center"/>
    </xf>
    <xf numFmtId="0" fontId="2" fillId="0" borderId="4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0" xfId="4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4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12" fillId="2" borderId="4" xfId="0" applyNumberFormat="1" applyFont="1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12" fillId="2" borderId="4" xfId="0" applyNumberFormat="1" applyFont="1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/>
    </xf>
    <xf numFmtId="0" fontId="0" fillId="0" borderId="4" xfId="0" applyBorder="1"/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12" fillId="2" borderId="4" xfId="0" applyNumberFormat="1" applyFont="1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2" fontId="12" fillId="2" borderId="4" xfId="0" applyNumberFormat="1" applyFont="1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2" fontId="12" fillId="2" borderId="4" xfId="0" applyNumberFormat="1" applyFont="1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/>
    </xf>
    <xf numFmtId="0" fontId="0" fillId="0" borderId="4" xfId="0" applyBorder="1"/>
  </cellXfs>
  <cellStyles count="7">
    <cellStyle name="Normal" xfId="0" builtinId="0"/>
    <cellStyle name="Normal 2" xfId="1"/>
    <cellStyle name="Normal 2 2" xfId="5"/>
    <cellStyle name="Normal 3" xfId="2"/>
    <cellStyle name="Normal 3 2" xfId="3"/>
    <cellStyle name="Normal 3 2 2" xfId="6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381000</xdr:colOff>
          <xdr:row>28</xdr:row>
          <xdr:rowOff>28015</xdr:rowOff>
        </xdr:from>
        <xdr:to>
          <xdr:col>22</xdr:col>
          <xdr:colOff>61296</xdr:colOff>
          <xdr:row>64</xdr:row>
          <xdr:rowOff>113516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133350</xdr:rowOff>
        </xdr:from>
        <xdr:to>
          <xdr:col>17</xdr:col>
          <xdr:colOff>281940</xdr:colOff>
          <xdr:row>87</xdr:row>
          <xdr:rowOff>106680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39</xdr:row>
          <xdr:rowOff>121920</xdr:rowOff>
        </xdr:from>
        <xdr:to>
          <xdr:col>20</xdr:col>
          <xdr:colOff>495300</xdr:colOff>
          <xdr:row>76</xdr:row>
          <xdr:rowOff>53340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205740</xdr:colOff>
          <xdr:row>7</xdr:row>
          <xdr:rowOff>121920</xdr:rowOff>
        </xdr:from>
        <xdr:to>
          <xdr:col>22</xdr:col>
          <xdr:colOff>266700</xdr:colOff>
          <xdr:row>44</xdr:row>
          <xdr:rowOff>91440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31</xdr:row>
          <xdr:rowOff>15240</xdr:rowOff>
        </xdr:from>
        <xdr:to>
          <xdr:col>21</xdr:col>
          <xdr:colOff>243840</xdr:colOff>
          <xdr:row>67</xdr:row>
          <xdr:rowOff>160020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129540</xdr:rowOff>
        </xdr:from>
        <xdr:to>
          <xdr:col>17</xdr:col>
          <xdr:colOff>7620</xdr:colOff>
          <xdr:row>84</xdr:row>
          <xdr:rowOff>76200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800100</xdr:colOff>
          <xdr:row>7</xdr:row>
          <xdr:rowOff>68580</xdr:rowOff>
        </xdr:from>
        <xdr:to>
          <xdr:col>20</xdr:col>
          <xdr:colOff>563880</xdr:colOff>
          <xdr:row>44</xdr:row>
          <xdr:rowOff>38100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mard/Downloads/OMAR%20ABDELRAHMAN%20%20%201902206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mard/Desktop/cizimtab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1_1"/>
      <sheetName val="TR1_1 %e abone"/>
      <sheetName val="TR1_2"/>
      <sheetName val="TR1_2 %e abone"/>
      <sheetName val="TR1_3"/>
      <sheetName val="TR1_3 %e abone"/>
      <sheetName val="TR1_4"/>
      <sheetName val="TR1_4 %e abone"/>
      <sheetName val="TR1 Ayd. Dir. Güçleri"/>
      <sheetName val="TR2_1"/>
      <sheetName val="TR2_1 %e abone"/>
      <sheetName val="TR2_2"/>
      <sheetName val="TR2_2 %e abone"/>
      <sheetName val="TR2_3"/>
      <sheetName val="TR2_3 %e abone"/>
      <sheetName val="TR2_4"/>
      <sheetName val="TR2_4 %e abone"/>
      <sheetName val="TR2 Ayd. Dir. Güçleri"/>
      <sheetName val="Veril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>
            <v>1</v>
          </cell>
          <cell r="B1" t="str">
            <v>5 x Rose</v>
          </cell>
          <cell r="C1" t="str">
            <v>5xR</v>
          </cell>
          <cell r="D1">
            <v>21.14</v>
          </cell>
          <cell r="E1">
            <v>110</v>
          </cell>
        </row>
        <row r="2">
          <cell r="A2">
            <v>2</v>
          </cell>
          <cell r="B2" t="str">
            <v>3 x Lily + Rose/Lily</v>
          </cell>
          <cell r="C2" t="str">
            <v>3xL+R/L</v>
          </cell>
          <cell r="D2">
            <v>26.6</v>
          </cell>
          <cell r="E2">
            <v>125</v>
          </cell>
        </row>
        <row r="3">
          <cell r="A3">
            <v>3</v>
          </cell>
          <cell r="B3" t="str">
            <v>3 x Iris + Rose/Lily</v>
          </cell>
          <cell r="C3" t="str">
            <v>3xI+R/L</v>
          </cell>
          <cell r="D3">
            <v>33.53</v>
          </cell>
          <cell r="E3">
            <v>143</v>
          </cell>
        </row>
        <row r="4">
          <cell r="A4">
            <v>4</v>
          </cell>
          <cell r="B4" t="str">
            <v>3xPansy + Rose/Iris</v>
          </cell>
          <cell r="C4" t="str">
            <v>3xP+R/I</v>
          </cell>
          <cell r="D4">
            <v>42.49</v>
          </cell>
          <cell r="E4">
            <v>165</v>
          </cell>
        </row>
        <row r="5">
          <cell r="A5">
            <v>5</v>
          </cell>
          <cell r="B5" t="str">
            <v>3xPoppy+Rose/Pansy</v>
          </cell>
          <cell r="C5" t="str">
            <v>3xPo+R/P</v>
          </cell>
          <cell r="D5">
            <v>53.48</v>
          </cell>
          <cell r="E5">
            <v>193</v>
          </cell>
        </row>
        <row r="6">
          <cell r="A6">
            <v>6</v>
          </cell>
          <cell r="B6" t="str">
            <v>3xAster+Rose/Pansy</v>
          </cell>
          <cell r="C6" t="str">
            <v>3xA+R/P</v>
          </cell>
          <cell r="D6">
            <v>67.14</v>
          </cell>
          <cell r="E6">
            <v>225</v>
          </cell>
        </row>
        <row r="7">
          <cell r="A7">
            <v>7</v>
          </cell>
          <cell r="B7" t="str">
            <v>3xPhlox + Rose/Poppy</v>
          </cell>
          <cell r="C7" t="str">
            <v>3xPh+R/Po</v>
          </cell>
          <cell r="D7">
            <v>84.91</v>
          </cell>
          <cell r="E7">
            <v>262</v>
          </cell>
        </row>
        <row r="8">
          <cell r="A8">
            <v>8</v>
          </cell>
          <cell r="B8" t="str">
            <v>3xOxlip+Rose/Aster</v>
          </cell>
          <cell r="C8" t="str">
            <v>3xO+R/A</v>
          </cell>
          <cell r="D8">
            <v>107.38</v>
          </cell>
          <cell r="E8">
            <v>306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TR1_1 Gücü ve Akım "/>
      <sheetName val="5TR1_2 Gücü ve Akım"/>
      <sheetName val="5TR1_3 Gücü ve Akım"/>
      <sheetName val="5TR1_4 Yer altı Gücü ve Akım"/>
      <sheetName val="5TR2_1 Gücü ve Akım"/>
      <sheetName val="5TR2_2 Gücü ve Akım"/>
      <sheetName val="TR2_3 Yer altı Gücü ve Akım"/>
      <sheetName val="TR1_1 %e Abone"/>
      <sheetName val="TR1_1 %e Aydınlatma"/>
      <sheetName val="TR1_2 Gücü ve Akım"/>
      <sheetName val="Sheet1"/>
      <sheetName val="TR1_2 Moment"/>
      <sheetName val="TR1_2 %e Abone"/>
      <sheetName val="TR1_2 %e Aydınlatma"/>
      <sheetName val="TR1_3Gücü ve Akım"/>
      <sheetName val="TR1_3 Moment"/>
      <sheetName val="TR1_3 %e Abone"/>
      <sheetName val="TR1_3 %e Aydınlatma"/>
      <sheetName val="TR1_4 Yeraltı"/>
      <sheetName val="TR1_4 Yeraltı Moment"/>
      <sheetName val="TR1_4 %e Abone yeraltı"/>
      <sheetName val="TR1_4 %e Aydınlatma yeraltı"/>
      <sheetName val="TR1 Adınlatma Direkler Güç"/>
      <sheetName val="Sheet2"/>
      <sheetName val="Sheet4"/>
      <sheetName val="TR2_1 Moment"/>
      <sheetName val="TR2_1 %e Abone"/>
      <sheetName val="TR2_1 %e Aydınlatma"/>
      <sheetName val="TR2_2 Gücü ve Akım"/>
      <sheetName val="Sheet3"/>
      <sheetName val="TR2_2 Moment"/>
      <sheetName val="TR2_2 %e Abone"/>
      <sheetName val="TR2_2 %e Aydınlatma"/>
      <sheetName val="TR2_3 Yeraltı Gücü ve Akım"/>
      <sheetName val="TR2_3 Yeraltı Moment"/>
      <sheetName val="TR2_3 %e Abone yeraltı"/>
      <sheetName val="TR2_3 %e Aydınlatma yeraltı"/>
      <sheetName val="TR2 Adınlatma Direkler Güç"/>
      <sheetName val="TR1 VE TR2 GÜÇ HESABI"/>
      <sheetName val="Veriler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>
            <v>1</v>
          </cell>
          <cell r="B1" t="str">
            <v>5 x Rose</v>
          </cell>
          <cell r="C1" t="str">
            <v>5xR</v>
          </cell>
          <cell r="D1">
            <v>21.14</v>
          </cell>
          <cell r="E1">
            <v>110</v>
          </cell>
        </row>
        <row r="2">
          <cell r="A2">
            <v>2</v>
          </cell>
          <cell r="B2" t="str">
            <v>3 x Lily + Rose/Lily</v>
          </cell>
          <cell r="C2" t="str">
            <v>3xL+R/L</v>
          </cell>
          <cell r="D2">
            <v>26.6</v>
          </cell>
          <cell r="E2">
            <v>125</v>
          </cell>
        </row>
        <row r="3">
          <cell r="A3">
            <v>3</v>
          </cell>
          <cell r="B3" t="str">
            <v>3 x Iris + Rose/Lily</v>
          </cell>
          <cell r="C3" t="str">
            <v>3xI+R/L</v>
          </cell>
          <cell r="D3">
            <v>33.53</v>
          </cell>
          <cell r="E3">
            <v>143</v>
          </cell>
        </row>
        <row r="4">
          <cell r="A4">
            <v>4</v>
          </cell>
          <cell r="B4" t="str">
            <v>3xPansy + Rose/Iris</v>
          </cell>
          <cell r="C4" t="str">
            <v>3xP+R/I</v>
          </cell>
          <cell r="D4">
            <v>42.49</v>
          </cell>
          <cell r="E4">
            <v>165</v>
          </cell>
        </row>
        <row r="5">
          <cell r="A5">
            <v>5</v>
          </cell>
          <cell r="B5" t="str">
            <v>3xPoppy+Rose/Pansy</v>
          </cell>
          <cell r="C5" t="str">
            <v>3xPo+R/P</v>
          </cell>
          <cell r="D5">
            <v>53.48</v>
          </cell>
          <cell r="E5">
            <v>193</v>
          </cell>
        </row>
        <row r="6">
          <cell r="A6">
            <v>6</v>
          </cell>
          <cell r="B6" t="str">
            <v>3xAster+Rose/Pansy</v>
          </cell>
          <cell r="C6" t="str">
            <v>3xA+R/P</v>
          </cell>
          <cell r="D6">
            <v>67.14</v>
          </cell>
          <cell r="E6">
            <v>225</v>
          </cell>
        </row>
        <row r="7">
          <cell r="A7">
            <v>7</v>
          </cell>
          <cell r="B7" t="str">
            <v>3xPhlox + Rose/Poppy</v>
          </cell>
          <cell r="C7" t="str">
            <v>3xPh+R/Po</v>
          </cell>
          <cell r="D7">
            <v>84.91</v>
          </cell>
          <cell r="E7">
            <v>262</v>
          </cell>
        </row>
        <row r="8">
          <cell r="A8">
            <v>8</v>
          </cell>
          <cell r="B8" t="str">
            <v>3xOxlip+Rose/Aster</v>
          </cell>
          <cell r="C8" t="str">
            <v>3xO+R/A</v>
          </cell>
          <cell r="D8">
            <v>107.38</v>
          </cell>
          <cell r="E8">
            <v>306</v>
          </cell>
        </row>
      </sheetData>
      <sheetData sheetId="40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2.emf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4.bin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image" Target="../media/image4.emf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5.bin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image" Target="../media/image5.emf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6.bin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openxmlformats.org/officeDocument/2006/relationships/image" Target="../media/image6.emf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7.bin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4" Type="http://schemas.openxmlformats.org/officeDocument/2006/relationships/image" Target="../media/image7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4"/>
  <sheetViews>
    <sheetView topLeftCell="A13" zoomScale="80" zoomScaleNormal="85" workbookViewId="0">
      <selection activeCell="J20" sqref="J20"/>
    </sheetView>
  </sheetViews>
  <sheetFormatPr defaultColWidth="9" defaultRowHeight="13.8"/>
  <cols>
    <col min="1" max="1" width="7.3984375" style="74" customWidth="1"/>
    <col min="2" max="2" width="6" style="74" customWidth="1"/>
    <col min="3" max="3" width="10.69921875" style="74" customWidth="1"/>
    <col min="4" max="4" width="8.3984375" style="74" customWidth="1"/>
    <col min="5" max="5" width="12.19921875" style="74" customWidth="1"/>
    <col min="6" max="6" width="7.69921875" style="74" customWidth="1"/>
    <col min="7" max="7" width="13.796875" style="74" customWidth="1"/>
    <col min="8" max="8" width="12.69921875" style="74" customWidth="1"/>
    <col min="9" max="10" width="11.19921875" style="74" customWidth="1"/>
    <col min="11" max="11" width="12.8984375" style="74" customWidth="1"/>
    <col min="12" max="12" width="11.19921875" style="74" customWidth="1"/>
    <col min="13" max="13" width="14.69921875" style="74" customWidth="1"/>
    <col min="14" max="14" width="18" style="74" customWidth="1"/>
    <col min="15" max="15" width="17.59765625" style="74" customWidth="1"/>
    <col min="16" max="16" width="13.3984375" style="74" customWidth="1"/>
    <col min="17" max="16384" width="9" style="74"/>
  </cols>
  <sheetData>
    <row r="1" spans="1:16" ht="2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8" t="s">
        <v>12</v>
      </c>
      <c r="N1" s="9" t="s">
        <v>13</v>
      </c>
      <c r="O1" s="9" t="s">
        <v>14</v>
      </c>
      <c r="P1" s="10" t="s">
        <v>15</v>
      </c>
    </row>
    <row r="2" spans="1:16" ht="14.4">
      <c r="A2" s="75" t="s">
        <v>16</v>
      </c>
      <c r="B2" s="76"/>
      <c r="C2" s="76"/>
      <c r="D2" s="76"/>
      <c r="E2" s="76"/>
      <c r="F2" s="76"/>
      <c r="G2" s="76">
        <f>0.5*F3</f>
        <v>2025</v>
      </c>
      <c r="H2" s="76">
        <f>G2/(SQRT(3)*380)</f>
        <v>3.0766691976552401</v>
      </c>
      <c r="I2" s="76"/>
      <c r="J2" s="76"/>
      <c r="K2" s="76"/>
      <c r="L2" s="76"/>
      <c r="M2" s="79"/>
      <c r="N2" s="45"/>
      <c r="O2" s="45"/>
      <c r="P2" s="46"/>
    </row>
    <row r="3" spans="1:16" ht="14.4">
      <c r="A3" s="75">
        <v>1</v>
      </c>
      <c r="B3" s="76">
        <v>1</v>
      </c>
      <c r="C3" s="76">
        <v>30</v>
      </c>
      <c r="D3" s="76">
        <v>3</v>
      </c>
      <c r="E3" s="76">
        <v>45</v>
      </c>
      <c r="F3" s="76">
        <f t="shared" ref="F3:F24" si="0">C3*D3*E3</f>
        <v>4050</v>
      </c>
      <c r="G3" s="76">
        <f t="shared" ref="G3:G13" si="1">0.5*(F3+F4)</f>
        <v>4050</v>
      </c>
      <c r="H3" s="76">
        <f t="shared" ref="H3:H24" si="2">G3/(SQRT(3)*380)</f>
        <v>6.1533383953104899</v>
      </c>
      <c r="I3" s="76">
        <f>H3+I4</f>
        <v>152.19256964713901</v>
      </c>
      <c r="J3" s="76">
        <f t="shared" ref="J3:J6" si="3">I3*C3</f>
        <v>4565.7770894141704</v>
      </c>
      <c r="K3" s="76">
        <f>J3+K4</f>
        <v>24204.156578991751</v>
      </c>
      <c r="L3" s="76">
        <f>K3/(8*35)</f>
        <v>86.443416353541963</v>
      </c>
      <c r="M3" s="79">
        <f>IF(L3&gt;Veriler!$D$1,IF(L3&gt;Veriler!$D$2,IF(L3&gt;Veriler!$D$3,IF(L3&gt;Veriler!$D$4,IF(L3&gt;Veriler!$D$5,IF(L3&gt;Veriler!$D$6,IF(L3&gt;Veriler!$D$7,IF(L3&gt;Veriler!$D$8,"ders sorumlusuna başvur",Veriler!$A$8),Veriler!$A$7),Veriler!$A$6),Veriler!$A$5),Veriler!$A$4),Veriler!$A$3),Veriler!$A$2),Veriler!$A$1)</f>
        <v>8</v>
      </c>
      <c r="N3" s="45">
        <v>8</v>
      </c>
      <c r="O3" s="45" t="str">
        <f>VLOOKUP(N3,Veriler!A$1:C$8,2,FALSE)</f>
        <v>3xOxlip+Rose/Aster</v>
      </c>
      <c r="P3" s="46" t="str">
        <f>IF(I4&lt;VLOOKUP(N4,Veriler!A$1:E$8,5,FALSE)," UYGUNDUR","KESİT AKIMI TAŞIYAMIYOR")</f>
        <v xml:space="preserve"> UYGUNDUR</v>
      </c>
    </row>
    <row r="4" spans="1:16" ht="14.4">
      <c r="A4" s="75">
        <v>2</v>
      </c>
      <c r="B4" s="76">
        <v>2</v>
      </c>
      <c r="C4" s="76">
        <v>30</v>
      </c>
      <c r="D4" s="76">
        <v>3</v>
      </c>
      <c r="E4" s="76">
        <v>45</v>
      </c>
      <c r="F4" s="76">
        <f t="shared" si="0"/>
        <v>4050</v>
      </c>
      <c r="G4" s="76">
        <f t="shared" si="1"/>
        <v>4050</v>
      </c>
      <c r="H4" s="76">
        <f t="shared" si="2"/>
        <v>6.1533383953104899</v>
      </c>
      <c r="I4" s="76">
        <f>H4+I5</f>
        <v>146.03923125182899</v>
      </c>
      <c r="J4" s="76">
        <f t="shared" si="3"/>
        <v>4381.1769375548702</v>
      </c>
      <c r="K4" s="76">
        <f>J4+K5</f>
        <v>19638.379489577579</v>
      </c>
      <c r="L4" s="76">
        <f t="shared" ref="L4:L6" si="4">K4/(8*35)</f>
        <v>70.13706960563421</v>
      </c>
      <c r="M4" s="79">
        <f>IF(L4&gt;Veriler!$D$1,IF(L4&gt;Veriler!$D$2,IF(L4&gt;Veriler!$D$3,IF(L4&gt;Veriler!$D$4,IF(L4&gt;Veriler!$D$5,IF(L4&gt;Veriler!$D$6,IF(L4&gt;Veriler!$D$7,IF(L4&gt;Veriler!$D$8,"ders sorumlusuna başvur",Veriler!$A$8),Veriler!$A$7),Veriler!$A$6),Veriler!$A$5),Veriler!$A$4),Veriler!$A$3),Veriler!$A$2),Veriler!$A$1)</f>
        <v>7</v>
      </c>
      <c r="N4" s="45">
        <v>8</v>
      </c>
      <c r="O4" s="45" t="str">
        <f>VLOOKUP(N4,Veriler!A$1:C$8,2,FALSE)</f>
        <v>3xOxlip+Rose/Aster</v>
      </c>
      <c r="P4" s="46" t="str">
        <f>IF(I4&lt;VLOOKUP(N4,Veriler!A$1:E$8,5,FALSE)," UYGUNDUR","KESİT AKIMI TAŞIYAMIYOR")</f>
        <v xml:space="preserve"> UYGUNDUR</v>
      </c>
    </row>
    <row r="5" spans="1:16" ht="14.4">
      <c r="A5" s="75">
        <v>3</v>
      </c>
      <c r="B5" s="76">
        <v>3</v>
      </c>
      <c r="C5" s="76">
        <v>30</v>
      </c>
      <c r="D5" s="76">
        <v>3</v>
      </c>
      <c r="E5" s="76">
        <v>45</v>
      </c>
      <c r="F5" s="76">
        <f t="shared" si="0"/>
        <v>4050</v>
      </c>
      <c r="G5" s="76">
        <f t="shared" si="1"/>
        <v>3847.5</v>
      </c>
      <c r="H5" s="76">
        <f t="shared" si="2"/>
        <v>5.8456714755449601</v>
      </c>
      <c r="I5" s="76">
        <f>H5+I6</f>
        <v>139.88589285651801</v>
      </c>
      <c r="J5" s="76">
        <f t="shared" si="3"/>
        <v>4196.5767856955408</v>
      </c>
      <c r="K5" s="76">
        <f>J5+K6</f>
        <v>15257.202552022711</v>
      </c>
      <c r="L5" s="76">
        <f t="shared" si="4"/>
        <v>54.490009114366821</v>
      </c>
      <c r="M5" s="79">
        <f>IF(L5&gt;Veriler!$D$1,IF(L5&gt;Veriler!$D$2,IF(L5&gt;Veriler!$D$3,IF(L5&gt;Veriler!$D$4,IF(L5&gt;Veriler!$D$5,IF(L5&gt;Veriler!$D$6,IF(L5&gt;Veriler!$D$7,IF(L5&gt;Veriler!$D$8,"ders sorumlusuna başvur",Veriler!$A$8),Veriler!$A$7),Veriler!$A$6),Veriler!$A$5),Veriler!$A$4),Veriler!$A$3),Veriler!$A$2),Veriler!$A$1)</f>
        <v>6</v>
      </c>
      <c r="N5" s="45">
        <v>8</v>
      </c>
      <c r="O5" s="45" t="str">
        <f>VLOOKUP(N5,Veriler!A$1:C$8,2,FALSE)</f>
        <v>3xOxlip+Rose/Aster</v>
      </c>
      <c r="P5" s="46" t="str">
        <f>IF(I5&lt;VLOOKUP(N5,Veriler!A$1:E$8,5,FALSE)," UYGUNDUR","KESİT AKIMI TAŞIYAMIYOR")</f>
        <v xml:space="preserve"> UYGUNDUR</v>
      </c>
    </row>
    <row r="6" spans="1:16" ht="14.4">
      <c r="A6" s="75">
        <v>4</v>
      </c>
      <c r="B6" s="76">
        <v>4</v>
      </c>
      <c r="C6" s="76">
        <v>27</v>
      </c>
      <c r="D6" s="76">
        <v>3</v>
      </c>
      <c r="E6" s="76">
        <v>45</v>
      </c>
      <c r="F6" s="76">
        <f t="shared" si="0"/>
        <v>3645</v>
      </c>
      <c r="G6" s="76">
        <f>0.5*(F6+F7+F12)</f>
        <v>6412.5</v>
      </c>
      <c r="H6" s="76">
        <f t="shared" si="2"/>
        <v>9.7427857925749404</v>
      </c>
      <c r="I6" s="76">
        <f>H6+H7+H8+H9+H10+I11</f>
        <v>134.04022138097301</v>
      </c>
      <c r="J6" s="76">
        <f t="shared" si="3"/>
        <v>3619.0859772862714</v>
      </c>
      <c r="K6" s="76">
        <f>J6+K11</f>
        <v>11060.62576632717</v>
      </c>
      <c r="L6" s="76">
        <f t="shared" si="4"/>
        <v>39.502234879739895</v>
      </c>
      <c r="M6" s="79">
        <f>IF(L6&gt;Veriler!$D$1,IF(L6&gt;Veriler!$D$2,IF(L6&gt;Veriler!$D$3,IF(L6&gt;Veriler!$D$4,IF(L6&gt;Veriler!$D$5,IF(L6&gt;Veriler!$D$6,IF(L6&gt;Veriler!$D$7,IF(L6&gt;Veriler!$D$8,"ders sorumlusuna başvur",Veriler!$A$8),Veriler!$A$7),Veriler!$A$6),Veriler!$A$5),Veriler!$A$4),Veriler!$A$3),Veriler!$A$2),Veriler!$A$1)</f>
        <v>4</v>
      </c>
      <c r="N6" s="45">
        <v>8</v>
      </c>
      <c r="O6" s="45" t="str">
        <f>VLOOKUP(N6,Veriler!A$1:C$8,2,FALSE)</f>
        <v>3xOxlip+Rose/Aster</v>
      </c>
      <c r="P6" s="46" t="str">
        <f>IF(I6&lt;VLOOKUP(N6,Veriler!A$1:E$8,5,FALSE)," UYGUNDUR","KESİT AKIMI TAŞIYAMIYOR")</f>
        <v xml:space="preserve"> UYGUNDUR</v>
      </c>
    </row>
    <row r="7" spans="1:16" ht="14.4">
      <c r="A7" s="75">
        <v>5</v>
      </c>
      <c r="B7" s="76">
        <v>5</v>
      </c>
      <c r="C7" s="76">
        <v>34</v>
      </c>
      <c r="D7" s="76">
        <v>3</v>
      </c>
      <c r="E7" s="76">
        <v>45</v>
      </c>
      <c r="F7" s="76">
        <f t="shared" si="0"/>
        <v>4590</v>
      </c>
      <c r="G7" s="76">
        <f t="shared" si="1"/>
        <v>4590</v>
      </c>
      <c r="H7" s="76">
        <f t="shared" si="2"/>
        <v>6.9737835146852198</v>
      </c>
      <c r="I7" s="76"/>
      <c r="J7" s="76"/>
      <c r="K7" s="76"/>
      <c r="L7" s="76"/>
      <c r="M7" s="79">
        <f>IF(L7&gt;Veriler!$D$1,IF(L7&gt;Veriler!$D$2,IF(L7&gt;Veriler!$D$3,IF(L7&gt;Veriler!$D$4,IF(L7&gt;Veriler!$D$5,IF(L7&gt;Veriler!$D$6,IF(L7&gt;Veriler!$D$7,IF(L7&gt;Veriler!$D$8,"ders sorumlusuna başvur",Veriler!$A$8),Veriler!$A$7),Veriler!$A$6),Veriler!$A$5),Veriler!$A$4),Veriler!$A$3),Veriler!$A$2),Veriler!$A$1)</f>
        <v>1</v>
      </c>
      <c r="N7" s="45">
        <v>1</v>
      </c>
      <c r="O7" s="45" t="str">
        <f>VLOOKUP(N7,Veriler!A$1:C$8,2,FALSE)</f>
        <v>5 x Rose</v>
      </c>
      <c r="P7" s="46" t="str">
        <f>IF(I7&lt;VLOOKUP(N7,Veriler!A$1:E$8,5,FALSE)," UYGUNDUR","KESİT AKIMI TAŞIYAMIYOR")</f>
        <v xml:space="preserve"> UYGUNDUR</v>
      </c>
    </row>
    <row r="8" spans="1:16" ht="14.4">
      <c r="A8" s="75">
        <v>6</v>
      </c>
      <c r="B8" s="76">
        <v>6</v>
      </c>
      <c r="C8" s="76">
        <v>34</v>
      </c>
      <c r="D8" s="76">
        <v>3</v>
      </c>
      <c r="E8" s="76">
        <v>45</v>
      </c>
      <c r="F8" s="76">
        <f t="shared" si="0"/>
        <v>4590</v>
      </c>
      <c r="G8" s="76">
        <f t="shared" si="1"/>
        <v>4590</v>
      </c>
      <c r="H8" s="76">
        <f t="shared" si="2"/>
        <v>6.9737835146852198</v>
      </c>
      <c r="I8" s="76"/>
      <c r="J8" s="76"/>
      <c r="K8" s="76"/>
      <c r="L8" s="76"/>
      <c r="M8" s="79">
        <f>IF(L8&gt;Veriler!$D$1,IF(L8&gt;Veriler!$D$2,IF(L8&gt;Veriler!$D$3,IF(L8&gt;Veriler!$D$4,IF(L8&gt;Veriler!$D$5,IF(L8&gt;Veriler!$D$6,IF(L8&gt;Veriler!$D$7,IF(L8&gt;Veriler!$D$8,"ders sorumlusuna başvur",Veriler!$A$8),Veriler!$A$7),Veriler!$A$6),Veriler!$A$5),Veriler!$A$4),Veriler!$A$3),Veriler!$A$2),Veriler!$A$1)</f>
        <v>1</v>
      </c>
      <c r="N8" s="45">
        <v>1</v>
      </c>
      <c r="O8" s="45" t="str">
        <f>VLOOKUP(N8,Veriler!A$1:C$8,2,FALSE)</f>
        <v>5 x Rose</v>
      </c>
      <c r="P8" s="46" t="str">
        <f>IF(I8&lt;VLOOKUP(N8,Veriler!A$1:E$8,5,FALSE)," UYGUNDUR","KESİT AKIMI TAŞIYAMIYOR")</f>
        <v xml:space="preserve"> UYGUNDUR</v>
      </c>
    </row>
    <row r="9" spans="1:16" ht="14.4">
      <c r="A9" s="75">
        <v>7</v>
      </c>
      <c r="B9" s="76">
        <v>7</v>
      </c>
      <c r="C9" s="76">
        <v>34</v>
      </c>
      <c r="D9" s="76">
        <v>3</v>
      </c>
      <c r="E9" s="76">
        <v>45</v>
      </c>
      <c r="F9" s="76">
        <f t="shared" si="0"/>
        <v>4590</v>
      </c>
      <c r="G9" s="76">
        <f t="shared" si="1"/>
        <v>4590</v>
      </c>
      <c r="H9" s="76">
        <f t="shared" si="2"/>
        <v>6.9737835146852198</v>
      </c>
      <c r="I9" s="76"/>
      <c r="J9" s="76"/>
      <c r="K9" s="76"/>
      <c r="L9" s="76"/>
      <c r="M9" s="79">
        <f>IF(L9&gt;Veriler!$D$1,IF(L9&gt;Veriler!$D$2,IF(L9&gt;Veriler!$D$3,IF(L9&gt;Veriler!$D$4,IF(L9&gt;Veriler!$D$5,IF(L9&gt;Veriler!$D$6,IF(L9&gt;Veriler!$D$7,IF(L9&gt;Veriler!$D$8,"ders sorumlusuna başvur",Veriler!$A$8),Veriler!$A$7),Veriler!$A$6),Veriler!$A$5),Veriler!$A$4),Veriler!$A$3),Veriler!$A$2),Veriler!$A$1)</f>
        <v>1</v>
      </c>
      <c r="N9" s="45">
        <v>1</v>
      </c>
      <c r="O9" s="45" t="str">
        <f>VLOOKUP(N9,Veriler!A$1:C$8,2,FALSE)</f>
        <v>5 x Rose</v>
      </c>
      <c r="P9" s="46" t="str">
        <f>IF(I9&lt;VLOOKUP(N9,Veriler!A$1:E$8,5,FALSE)," UYGUNDUR","KESİT AKIMI TAŞIYAMIYOR")</f>
        <v xml:space="preserve"> UYGUNDUR</v>
      </c>
    </row>
    <row r="10" spans="1:16" ht="14.4">
      <c r="A10" s="75">
        <v>8</v>
      </c>
      <c r="B10" s="76">
        <v>8</v>
      </c>
      <c r="C10" s="76">
        <v>34</v>
      </c>
      <c r="D10" s="76">
        <v>3</v>
      </c>
      <c r="E10" s="76">
        <v>45</v>
      </c>
      <c r="F10" s="76">
        <f t="shared" si="0"/>
        <v>4590</v>
      </c>
      <c r="G10" s="76">
        <f t="shared" si="1"/>
        <v>4590</v>
      </c>
      <c r="H10" s="76">
        <f t="shared" si="2"/>
        <v>6.9737835146852198</v>
      </c>
      <c r="I10" s="76"/>
      <c r="J10" s="76"/>
      <c r="K10" s="76"/>
      <c r="L10" s="76"/>
      <c r="M10" s="79">
        <f>IF(L10&gt;Veriler!$D$1,IF(L10&gt;Veriler!$D$2,IF(L10&gt;Veriler!$D$3,IF(L10&gt;Veriler!$D$4,IF(L10&gt;Veriler!$D$5,IF(L10&gt;Veriler!$D$6,IF(L10&gt;Veriler!$D$7,IF(L10&gt;Veriler!$D$8,"ders sorumlusuna başvur",Veriler!$A$8),Veriler!$A$7),Veriler!$A$6),Veriler!$A$5),Veriler!$A$4),Veriler!$A$3),Veriler!$A$2),Veriler!$A$1)</f>
        <v>1</v>
      </c>
      <c r="N10" s="45">
        <v>1</v>
      </c>
      <c r="O10" s="45" t="str">
        <f>VLOOKUP(N10,Veriler!A$1:C$8,2,FALSE)</f>
        <v>5 x Rose</v>
      </c>
      <c r="P10" s="46" t="str">
        <f>IF(I10&lt;VLOOKUP(N10,Veriler!A$1:E$8,5,FALSE)," UYGUNDUR","KESİT AKIMI TAŞIYAMIYOR")</f>
        <v xml:space="preserve"> UYGUNDUR</v>
      </c>
    </row>
    <row r="11" spans="1:16" ht="28.8">
      <c r="A11" s="75">
        <v>9</v>
      </c>
      <c r="B11" s="76">
        <v>9</v>
      </c>
      <c r="C11" s="76">
        <v>34</v>
      </c>
      <c r="D11" s="76">
        <v>3</v>
      </c>
      <c r="E11" s="76">
        <v>45</v>
      </c>
      <c r="F11" s="76">
        <f t="shared" si="0"/>
        <v>4590</v>
      </c>
      <c r="G11" s="76">
        <f t="shared" si="1"/>
        <v>4590</v>
      </c>
      <c r="H11" s="76">
        <f t="shared" si="2"/>
        <v>6.9737835146852198</v>
      </c>
      <c r="I11" s="76">
        <f>H11+H12+H13+H14+H15+H16+H17+I18</f>
        <v>96.402301529657294</v>
      </c>
      <c r="J11" s="76">
        <f>I11*C11</f>
        <v>3277.678252008348</v>
      </c>
      <c r="K11" s="76">
        <f>J11+K18</f>
        <v>7441.5397890408985</v>
      </c>
      <c r="L11" s="76">
        <f>K11/(8*35)</f>
        <v>26.57692781800321</v>
      </c>
      <c r="M11" s="79">
        <f>IF(L11&gt;Veriler!$D$1,IF(L11&gt;Veriler!$D$2,IF(L11&gt;Veriler!$D$3,IF(L11&gt;Veriler!$D$4,IF(L11&gt;Veriler!$D$5,IF(L11&gt;Veriler!$D$6,IF(L11&gt;Veriler!$D$7,IF(L11&gt;Veriler!$D$8,"ders sorumlusuna başvur",Veriler!$A$8),Veriler!$A$7),Veriler!$A$6),Veriler!$A$5),Veriler!$A$4),Veriler!$A$3),Veriler!$A$2),Veriler!$A$1)</f>
        <v>2</v>
      </c>
      <c r="N11" s="45">
        <v>2</v>
      </c>
      <c r="O11" s="45" t="str">
        <f>VLOOKUP(N11,Veriler!A$1:C$8,2,FALSE)</f>
        <v>3 x Lily + Rose/Lily</v>
      </c>
      <c r="P11" s="46" t="str">
        <f>IF(I11&lt;VLOOKUP(N11,Veriler!A$1:E$8,5,FALSE)," UYGUNDUR","KESİT AKIMI TAŞIYAMIYOR")</f>
        <v xml:space="preserve"> UYGUNDUR</v>
      </c>
    </row>
    <row r="12" spans="1:16" ht="14.4">
      <c r="A12" s="75">
        <v>10</v>
      </c>
      <c r="B12" s="76">
        <v>10</v>
      </c>
      <c r="C12" s="76">
        <v>34</v>
      </c>
      <c r="D12" s="76">
        <v>3</v>
      </c>
      <c r="E12" s="76">
        <v>45</v>
      </c>
      <c r="F12" s="76">
        <f t="shared" si="0"/>
        <v>4590</v>
      </c>
      <c r="G12" s="76">
        <f t="shared" si="1"/>
        <v>4590</v>
      </c>
      <c r="H12" s="76">
        <f t="shared" si="2"/>
        <v>6.9737835146852198</v>
      </c>
      <c r="I12" s="76"/>
      <c r="J12" s="76"/>
      <c r="K12" s="76"/>
      <c r="L12" s="76"/>
      <c r="M12" s="79">
        <f>IF(L12&gt;Veriler!$D$1,IF(L12&gt;Veriler!$D$2,IF(L12&gt;Veriler!$D$3,IF(L12&gt;Veriler!$D$4,IF(L12&gt;Veriler!$D$5,IF(L12&gt;Veriler!$D$6,IF(L12&gt;Veriler!$D$7,IF(L12&gt;Veriler!$D$8,"ders sorumlusuna başvur",Veriler!$A$8),Veriler!$A$7),Veriler!$A$6),Veriler!$A$5),Veriler!$A$4),Veriler!$A$3),Veriler!$A$2),Veriler!$A$1)</f>
        <v>1</v>
      </c>
      <c r="N12" s="45">
        <v>1</v>
      </c>
      <c r="O12" s="45" t="str">
        <f>VLOOKUP(N12,Veriler!A$1:C$8,2,FALSE)</f>
        <v>5 x Rose</v>
      </c>
      <c r="P12" s="46" t="str">
        <f>IF(I12&lt;VLOOKUP(N12,Veriler!A$1:E$8,5,FALSE)," UYGUNDUR","KESİT AKIMI TAŞIYAMIYOR")</f>
        <v xml:space="preserve"> UYGUNDUR</v>
      </c>
    </row>
    <row r="13" spans="1:16" ht="14.4">
      <c r="A13" s="75">
        <v>11</v>
      </c>
      <c r="B13" s="76">
        <v>11</v>
      </c>
      <c r="C13" s="76">
        <v>34</v>
      </c>
      <c r="D13" s="76">
        <v>3</v>
      </c>
      <c r="E13" s="76">
        <v>45</v>
      </c>
      <c r="F13" s="76">
        <f t="shared" si="0"/>
        <v>4590</v>
      </c>
      <c r="G13" s="76">
        <f t="shared" si="1"/>
        <v>4590</v>
      </c>
      <c r="H13" s="76">
        <f t="shared" si="2"/>
        <v>6.9737835146852198</v>
      </c>
      <c r="I13" s="76"/>
      <c r="J13" s="76"/>
      <c r="K13" s="76"/>
      <c r="L13" s="76"/>
      <c r="M13" s="79">
        <f>IF(L13&gt;Veriler!$D$1,IF(L13&gt;Veriler!$D$2,IF(L13&gt;Veriler!$D$3,IF(L13&gt;Veriler!$D$4,IF(L13&gt;Veriler!$D$5,IF(L13&gt;Veriler!$D$6,IF(L13&gt;Veriler!$D$7,IF(L13&gt;Veriler!$D$8,"ders sorumlusuna başvur",Veriler!$A$8),Veriler!$A$7),Veriler!$A$6),Veriler!$A$5),Veriler!$A$4),Veriler!$A$3),Veriler!$A$2),Veriler!$A$1)</f>
        <v>1</v>
      </c>
      <c r="N13" s="45">
        <v>1</v>
      </c>
      <c r="O13" s="45" t="str">
        <f>VLOOKUP(N13,Veriler!A$1:C$8,2,FALSE)</f>
        <v>5 x Rose</v>
      </c>
      <c r="P13" s="46" t="str">
        <f>IF(I13&lt;VLOOKUP(N13,Veriler!A$1:E$8,5,FALSE)," UYGUNDUR","KESİT AKIMI TAŞIYAMIYOR")</f>
        <v xml:space="preserve"> UYGUNDUR</v>
      </c>
    </row>
    <row r="14" spans="1:16" ht="14.4">
      <c r="A14" s="75">
        <v>12</v>
      </c>
      <c r="B14" s="76">
        <v>12</v>
      </c>
      <c r="C14" s="76">
        <v>34</v>
      </c>
      <c r="D14" s="76">
        <v>3</v>
      </c>
      <c r="E14" s="76">
        <v>45</v>
      </c>
      <c r="F14" s="76">
        <f t="shared" si="0"/>
        <v>4590</v>
      </c>
      <c r="G14" s="76">
        <f>0.5*(F14+F15+F16)</f>
        <v>7290</v>
      </c>
      <c r="H14" s="76">
        <f t="shared" si="2"/>
        <v>11.0760091115589</v>
      </c>
      <c r="I14" s="76"/>
      <c r="J14" s="76"/>
      <c r="K14" s="76"/>
      <c r="L14" s="76"/>
      <c r="M14" s="79">
        <f>IF(L14&gt;Veriler!$D$1,IF(L14&gt;Veriler!$D$2,IF(L14&gt;Veriler!$D$3,IF(L14&gt;Veriler!$D$4,IF(L14&gt;Veriler!$D$5,IF(L14&gt;Veriler!$D$6,IF(L14&gt;Veriler!$D$7,IF(L14&gt;Veriler!$D$8,"ders sorumlusuna başvur",Veriler!$A$8),Veriler!$A$7),Veriler!$A$6),Veriler!$A$5),Veriler!$A$4),Veriler!$A$3),Veriler!$A$2),Veriler!$A$1)</f>
        <v>1</v>
      </c>
      <c r="N14" s="45">
        <v>1</v>
      </c>
      <c r="O14" s="45" t="str">
        <f>VLOOKUP(N14,Veriler!A$1:C$8,2,FALSE)</f>
        <v>5 x Rose</v>
      </c>
      <c r="P14" s="46" t="str">
        <f>IF(I14&lt;VLOOKUP(N14,Veriler!A$1:E$8,5,FALSE)," UYGUNDUR","KESİT AKIMI TAŞIYAMIYOR")</f>
        <v xml:space="preserve"> UYGUNDUR</v>
      </c>
    </row>
    <row r="15" spans="1:16" ht="14.4">
      <c r="A15" s="75">
        <v>13</v>
      </c>
      <c r="B15" s="76">
        <v>13</v>
      </c>
      <c r="C15" s="76">
        <v>34</v>
      </c>
      <c r="D15" s="76">
        <v>3</v>
      </c>
      <c r="E15" s="76">
        <v>45</v>
      </c>
      <c r="F15" s="76">
        <f t="shared" si="0"/>
        <v>4590</v>
      </c>
      <c r="G15" s="76">
        <f>0.5*(F15)</f>
        <v>2295</v>
      </c>
      <c r="H15" s="76">
        <f t="shared" si="2"/>
        <v>3.4868917573426099</v>
      </c>
      <c r="I15" s="76"/>
      <c r="J15" s="76"/>
      <c r="K15" s="76"/>
      <c r="L15" s="76"/>
      <c r="M15" s="79">
        <f>IF(L15&gt;Veriler!$D$1,IF(L15&gt;Veriler!$D$2,IF(L15&gt;Veriler!$D$3,IF(L15&gt;Veriler!$D$4,IF(L15&gt;Veriler!$D$5,IF(L15&gt;Veriler!$D$6,IF(L15&gt;Veriler!$D$7,IF(L15&gt;Veriler!$D$8,"ders sorumlusuna başvur",Veriler!$A$8),Veriler!$A$7),Veriler!$A$6),Veriler!$A$5),Veriler!$A$4),Veriler!$A$3),Veriler!$A$2),Veriler!$A$1)</f>
        <v>1</v>
      </c>
      <c r="N15" s="45">
        <v>1</v>
      </c>
      <c r="O15" s="45" t="str">
        <f>VLOOKUP(N15,Veriler!A$1:C$8,2,FALSE)</f>
        <v>5 x Rose</v>
      </c>
      <c r="P15" s="46" t="str">
        <f>IF(I15&lt;VLOOKUP(N15,Veriler!A$1:E$8,5,FALSE)," UYGUNDUR","KESİT AKIMI TAŞIYAMIYOR")</f>
        <v xml:space="preserve"> UYGUNDUR</v>
      </c>
    </row>
    <row r="16" spans="1:16" ht="14.4">
      <c r="A16" s="75">
        <v>14</v>
      </c>
      <c r="B16" s="76">
        <v>14</v>
      </c>
      <c r="C16" s="76">
        <v>40</v>
      </c>
      <c r="D16" s="76">
        <v>3</v>
      </c>
      <c r="E16" s="76">
        <v>45</v>
      </c>
      <c r="F16" s="76">
        <f t="shared" si="0"/>
        <v>5400</v>
      </c>
      <c r="G16" s="76">
        <f t="shared" ref="G16:G20" si="5">0.5*(F16+F17)</f>
        <v>5400</v>
      </c>
      <c r="H16" s="76">
        <f t="shared" si="2"/>
        <v>8.2044511937473104</v>
      </c>
      <c r="I16" s="76"/>
      <c r="J16" s="76"/>
      <c r="K16" s="76"/>
      <c r="L16" s="76"/>
      <c r="M16" s="79">
        <f>IF(L16&gt;Veriler!$D$1,IF(L16&gt;Veriler!$D$2,IF(L16&gt;Veriler!$D$3,IF(L16&gt;Veriler!$D$4,IF(L16&gt;Veriler!$D$5,IF(L16&gt;Veriler!$D$6,IF(L16&gt;Veriler!$D$7,IF(L16&gt;Veriler!$D$8,"ders sorumlusuna başvur",Veriler!$A$8),Veriler!$A$7),Veriler!$A$6),Veriler!$A$5),Veriler!$A$4),Veriler!$A$3),Veriler!$A$2),Veriler!$A$1)</f>
        <v>1</v>
      </c>
      <c r="N16" s="45">
        <v>1</v>
      </c>
      <c r="O16" s="45" t="str">
        <f>VLOOKUP(N16,Veriler!A$1:C$8,2,FALSE)</f>
        <v>5 x Rose</v>
      </c>
      <c r="P16" s="46" t="str">
        <f>IF(I16&lt;VLOOKUP(N16,Veriler!A$1:E$8,5,FALSE)," UYGUNDUR","KESİT AKIMI TAŞIYAMIYOR")</f>
        <v xml:space="preserve"> UYGUNDUR</v>
      </c>
    </row>
    <row r="17" spans="1:16" ht="14.4">
      <c r="A17" s="75">
        <v>15</v>
      </c>
      <c r="B17" s="76">
        <v>15</v>
      </c>
      <c r="C17" s="76">
        <v>40</v>
      </c>
      <c r="D17" s="76">
        <v>3</v>
      </c>
      <c r="E17" s="76">
        <v>45</v>
      </c>
      <c r="F17" s="76">
        <f t="shared" si="0"/>
        <v>5400</v>
      </c>
      <c r="G17" s="76">
        <f>0.5*(F17)</f>
        <v>2700</v>
      </c>
      <c r="H17" s="76">
        <f t="shared" si="2"/>
        <v>4.1022255968736596</v>
      </c>
      <c r="I17" s="76"/>
      <c r="J17" s="76"/>
      <c r="K17" s="76"/>
      <c r="L17" s="76"/>
      <c r="M17" s="79">
        <f>IF(L17&gt;Veriler!$D$1,IF(L17&gt;Veriler!$D$2,IF(L17&gt;Veriler!$D$3,IF(L17&gt;Veriler!$D$4,IF(L17&gt;Veriler!$D$5,IF(L17&gt;Veriler!$D$6,IF(L17&gt;Veriler!$D$7,IF(L17&gt;Veriler!$D$8,"ders sorumlusuna başvur",Veriler!$A$8),Veriler!$A$7),Veriler!$A$6),Veriler!$A$5),Veriler!$A$4),Veriler!$A$3),Veriler!$A$2),Veriler!$A$1)</f>
        <v>1</v>
      </c>
      <c r="N17" s="45">
        <v>1</v>
      </c>
      <c r="O17" s="45" t="str">
        <f>VLOOKUP(N17,Veriler!A$1:C$8,2,FALSE)</f>
        <v>5 x Rose</v>
      </c>
      <c r="P17" s="46" t="str">
        <f>IF(I17&lt;VLOOKUP(N17,Veriler!A$1:E$8,5,FALSE)," UYGUNDUR","KESİT AKIMI TAŞIYAMIYOR")</f>
        <v xml:space="preserve"> UYGUNDUR</v>
      </c>
    </row>
    <row r="18" spans="1:16" ht="14.4">
      <c r="A18" s="75">
        <v>16</v>
      </c>
      <c r="B18" s="76">
        <v>16</v>
      </c>
      <c r="C18" s="76">
        <v>28</v>
      </c>
      <c r="D18" s="76">
        <v>3</v>
      </c>
      <c r="E18" s="76">
        <v>45</v>
      </c>
      <c r="F18" s="76">
        <f t="shared" si="0"/>
        <v>3780</v>
      </c>
      <c r="G18" s="76">
        <f t="shared" si="5"/>
        <v>3780</v>
      </c>
      <c r="H18" s="76">
        <f t="shared" si="2"/>
        <v>5.7431158356231196</v>
      </c>
      <c r="I18" s="76">
        <f t="shared" ref="I18:I23" si="6">H18+I19</f>
        <v>48.611373326079203</v>
      </c>
      <c r="J18" s="76">
        <f t="shared" ref="J18:J24" si="7">I18*C18</f>
        <v>1361.1184531302176</v>
      </c>
      <c r="K18" s="76">
        <f t="shared" ref="K18:K23" si="8">J18+K19</f>
        <v>4163.8615370325506</v>
      </c>
      <c r="L18" s="76">
        <f t="shared" ref="L18:L24" si="9">K18/(8*35)</f>
        <v>14.870934060830537</v>
      </c>
      <c r="M18" s="79">
        <f>IF(L18&gt;Veriler!$D$1,IF(L18&gt;Veriler!$D$2,IF(L18&gt;Veriler!$D$3,IF(L18&gt;Veriler!$D$4,IF(L18&gt;Veriler!$D$5,IF(L18&gt;Veriler!$D$6,IF(L18&gt;Veriler!$D$7,IF(L18&gt;Veriler!$D$8,"ders sorumlusuna başvur",Veriler!$A$8),Veriler!$A$7),Veriler!$A$6),Veriler!$A$5),Veriler!$A$4),Veriler!$A$3),Veriler!$A$2),Veriler!$A$1)</f>
        <v>1</v>
      </c>
      <c r="N18" s="45">
        <v>1</v>
      </c>
      <c r="O18" s="45" t="str">
        <f>VLOOKUP(N18,Veriler!A$1:C$8,2,FALSE)</f>
        <v>5 x Rose</v>
      </c>
      <c r="P18" s="46" t="str">
        <f>IF(I18&lt;VLOOKUP(N18,Veriler!A$1:E$8,5,FALSE)," UYGUNDUR","KESİT AKIMI TAŞIYAMIYOR")</f>
        <v xml:space="preserve"> UYGUNDUR</v>
      </c>
    </row>
    <row r="19" spans="1:16" ht="14.4">
      <c r="A19" s="75">
        <v>17</v>
      </c>
      <c r="B19" s="76">
        <v>17</v>
      </c>
      <c r="C19" s="76">
        <v>28</v>
      </c>
      <c r="D19" s="76">
        <v>3</v>
      </c>
      <c r="E19" s="76">
        <v>45</v>
      </c>
      <c r="F19" s="76">
        <f t="shared" si="0"/>
        <v>3780</v>
      </c>
      <c r="G19" s="76">
        <f>0.5*(F19+F20+F22)</f>
        <v>6952.5</v>
      </c>
      <c r="H19" s="76">
        <f t="shared" si="2"/>
        <v>10.563230911949701</v>
      </c>
      <c r="I19" s="76">
        <f>H19+H20+H21+I22</f>
        <v>42.868257490456102</v>
      </c>
      <c r="J19" s="76">
        <f t="shared" si="7"/>
        <v>1200.3112097327707</v>
      </c>
      <c r="K19" s="76">
        <f>J19+K22</f>
        <v>2802.7430839023332</v>
      </c>
      <c r="L19" s="76">
        <f t="shared" si="9"/>
        <v>10.009796728222618</v>
      </c>
      <c r="M19" s="79">
        <f>IF(L19&gt;Veriler!$D$1,IF(L19&gt;Veriler!$D$2,IF(L19&gt;Veriler!$D$3,IF(L19&gt;Veriler!$D$4,IF(L19&gt;Veriler!$D$5,IF(L19&gt;Veriler!$D$6,IF(L19&gt;Veriler!$D$7,IF(L19&gt;Veriler!$D$8,"ders sorumlusuna başvur",Veriler!$A$8),Veriler!$A$7),Veriler!$A$6),Veriler!$A$5),Veriler!$A$4),Veriler!$A$3),Veriler!$A$2),Veriler!$A$1)</f>
        <v>1</v>
      </c>
      <c r="N19" s="45">
        <v>1</v>
      </c>
      <c r="O19" s="45" t="str">
        <f>VLOOKUP(N16,Veriler!A$1:C$8,2,FALSE)</f>
        <v>5 x Rose</v>
      </c>
      <c r="P19" s="46" t="str">
        <f>IF(I19&lt;VLOOKUP(N19,Veriler!A$1:E$8,5,FALSE)," UYGUNDUR","KESİT AKIMI TAŞIYAMIYOR")</f>
        <v xml:space="preserve"> UYGUNDUR</v>
      </c>
    </row>
    <row r="20" spans="1:16" ht="14.4">
      <c r="A20" s="75">
        <v>18</v>
      </c>
      <c r="B20" s="76">
        <v>18</v>
      </c>
      <c r="C20" s="76">
        <v>35</v>
      </c>
      <c r="D20" s="76">
        <v>3</v>
      </c>
      <c r="E20" s="76">
        <v>45</v>
      </c>
      <c r="F20" s="76">
        <f t="shared" si="0"/>
        <v>4725</v>
      </c>
      <c r="G20" s="76">
        <f t="shared" si="5"/>
        <v>4725</v>
      </c>
      <c r="H20" s="76">
        <f t="shared" si="2"/>
        <v>7.1788947945289001</v>
      </c>
      <c r="I20" s="76"/>
      <c r="J20" s="76"/>
      <c r="K20" s="76"/>
      <c r="L20" s="76"/>
      <c r="M20" s="79">
        <f>IF(L20&gt;Veriler!$D$1,IF(L20&gt;Veriler!$D$2,IF(L20&gt;Veriler!$D$3,IF(L20&gt;Veriler!$D$4,IF(L20&gt;Veriler!$D$5,IF(L20&gt;Veriler!$D$6,IF(L20&gt;Veriler!$D$7,IF(L20&gt;Veriler!$D$8,"ders sorumlusuna başvur",Veriler!$A$8),Veriler!$A$7),Veriler!$A$6),Veriler!$A$5),Veriler!$A$4),Veriler!$A$3),Veriler!$A$2),Veriler!$A$1)</f>
        <v>1</v>
      </c>
      <c r="N20" s="45">
        <v>1</v>
      </c>
      <c r="O20" s="45" t="str">
        <f>VLOOKUP(N17,Veriler!A$1:C$8,2,FALSE)</f>
        <v>5 x Rose</v>
      </c>
      <c r="P20" s="46" t="str">
        <f>IF(I20&lt;VLOOKUP(N20,Veriler!A$1:E$8,5,FALSE)," UYGUNDUR","KESİT AKIMI TAŞIYAMIYOR")</f>
        <v xml:space="preserve"> UYGUNDUR</v>
      </c>
    </row>
    <row r="21" spans="1:16" ht="14.4">
      <c r="A21" s="75">
        <v>19</v>
      </c>
      <c r="B21" s="76">
        <v>19</v>
      </c>
      <c r="C21" s="76">
        <v>35</v>
      </c>
      <c r="D21" s="76">
        <v>3</v>
      </c>
      <c r="E21" s="76">
        <v>45</v>
      </c>
      <c r="F21" s="76">
        <f t="shared" si="0"/>
        <v>4725</v>
      </c>
      <c r="G21" s="76">
        <f>0.5*(F21)</f>
        <v>2362.5</v>
      </c>
      <c r="H21" s="76">
        <f t="shared" si="2"/>
        <v>3.5894473972644501</v>
      </c>
      <c r="I21" s="76"/>
      <c r="J21" s="76"/>
      <c r="K21" s="76"/>
      <c r="L21" s="76"/>
      <c r="M21" s="79">
        <f>IF(L21&gt;Veriler!$D$1,IF(L21&gt;Veriler!$D$2,IF(L21&gt;Veriler!$D$3,IF(L21&gt;Veriler!$D$4,IF(L21&gt;Veriler!$D$5,IF(L21&gt;Veriler!$D$6,IF(L21&gt;Veriler!$D$7,IF(L21&gt;Veriler!$D$8,"ders sorumlusuna başvur",Veriler!$A$8),Veriler!$A$7),Veriler!$A$6),Veriler!$A$5),Veriler!$A$4),Veriler!$A$3),Veriler!$A$2),Veriler!$A$1)</f>
        <v>1</v>
      </c>
      <c r="N21" s="45">
        <v>1</v>
      </c>
      <c r="O21" s="45" t="str">
        <f>VLOOKUP(N18,Veriler!A$1:C$8,2,FALSE)</f>
        <v>5 x Rose</v>
      </c>
      <c r="P21" s="46" t="str">
        <f>IF(I21&lt;VLOOKUP(N21,Veriler!A$1:E$8,5,FALSE)," UYGUNDUR","KESİT AKIMI TAŞIYAMIYOR")</f>
        <v xml:space="preserve"> UYGUNDUR</v>
      </c>
    </row>
    <row r="22" spans="1:16" ht="14.4">
      <c r="A22" s="75">
        <v>20</v>
      </c>
      <c r="B22" s="76">
        <v>20</v>
      </c>
      <c r="C22" s="76">
        <v>40</v>
      </c>
      <c r="D22" s="76">
        <v>3</v>
      </c>
      <c r="E22" s="76">
        <v>45</v>
      </c>
      <c r="F22" s="76">
        <f t="shared" si="0"/>
        <v>5400</v>
      </c>
      <c r="G22" s="76">
        <f>0.5*(F22+F23)</f>
        <v>5737.5</v>
      </c>
      <c r="H22" s="76">
        <f t="shared" si="2"/>
        <v>8.7172293933565204</v>
      </c>
      <c r="I22" s="76">
        <f t="shared" si="6"/>
        <v>21.536684386712999</v>
      </c>
      <c r="J22" s="76">
        <f t="shared" si="7"/>
        <v>861.46737546852</v>
      </c>
      <c r="K22" s="76">
        <f t="shared" si="8"/>
        <v>1602.4318741695624</v>
      </c>
      <c r="L22" s="76">
        <f t="shared" si="9"/>
        <v>5.7229709791770089</v>
      </c>
      <c r="M22" s="79">
        <f>IF(L22&gt;Veriler!$D$1,IF(L22&gt;Veriler!$D$2,IF(L22&gt;Veriler!$D$3,IF(L22&gt;Veriler!$D$4,IF(L22&gt;Veriler!$D$5,IF(L22&gt;Veriler!$D$6,IF(L22&gt;Veriler!$D$7,IF(L22&gt;Veriler!$D$8,"ders sorumlusuna başvur",Veriler!$A$8),Veriler!$A$7),Veriler!$A$6),Veriler!$A$5),Veriler!$A$4),Veriler!$A$3),Veriler!$A$2),Veriler!$A$1)</f>
        <v>1</v>
      </c>
      <c r="N22" s="45">
        <v>1</v>
      </c>
      <c r="O22" s="45" t="str">
        <f>VLOOKUP(N19,Veriler!A$1:C$8,2,FALSE)</f>
        <v>5 x Rose</v>
      </c>
      <c r="P22" s="46" t="str">
        <f>IF(I22&lt;VLOOKUP(N22,Veriler!A$1:E$8,5,FALSE)," UYGUNDUR","KESİT AKIMI TAŞIYAMIYOR")</f>
        <v xml:space="preserve"> UYGUNDUR</v>
      </c>
    </row>
    <row r="23" spans="1:16" ht="14.4">
      <c r="A23" s="75">
        <v>21</v>
      </c>
      <c r="B23" s="76">
        <v>21</v>
      </c>
      <c r="C23" s="76">
        <v>45</v>
      </c>
      <c r="D23" s="76">
        <v>3</v>
      </c>
      <c r="E23" s="76">
        <v>45</v>
      </c>
      <c r="F23" s="76">
        <f t="shared" si="0"/>
        <v>6075</v>
      </c>
      <c r="G23" s="76">
        <f>0.5*(F23+F24)</f>
        <v>5737.5</v>
      </c>
      <c r="H23" s="76">
        <f t="shared" si="2"/>
        <v>8.7172293933565204</v>
      </c>
      <c r="I23" s="76">
        <f t="shared" si="6"/>
        <v>12.8194549933565</v>
      </c>
      <c r="J23" s="76">
        <f t="shared" si="7"/>
        <v>576.87547470104244</v>
      </c>
      <c r="K23" s="76">
        <f t="shared" si="8"/>
        <v>740.96449870104243</v>
      </c>
      <c r="L23" s="76">
        <f t="shared" si="9"/>
        <v>2.6463017810751515</v>
      </c>
      <c r="M23" s="79">
        <f>IF(L23&gt;Veriler!$D$1,IF(L23&gt;Veriler!$D$2,IF(L23&gt;Veriler!$D$3,IF(L23&gt;Veriler!$D$4,IF(L23&gt;Veriler!$D$5,IF(L23&gt;Veriler!$D$6,IF(L23&gt;Veriler!$D$7,IF(L23&gt;Veriler!$D$8,"ders sorumlusuna başvur",Veriler!$A$8),Veriler!$A$7),Veriler!$A$6),Veriler!$A$5),Veriler!$A$4),Veriler!$A$3),Veriler!$A$2),Veriler!$A$1)</f>
        <v>1</v>
      </c>
      <c r="N23" s="45">
        <v>1</v>
      </c>
      <c r="O23" s="45" t="str">
        <f>VLOOKUP(N20,Veriler!A$1:C$8,2,FALSE)</f>
        <v>5 x Rose</v>
      </c>
      <c r="P23" s="46" t="str">
        <f>IF(I23&lt;VLOOKUP(N23,Veriler!A$1:E$8,5,FALSE)," UYGUNDUR","KESİT AKIMI TAŞIYAMIYOR")</f>
        <v xml:space="preserve"> UYGUNDUR</v>
      </c>
    </row>
    <row r="24" spans="1:16" ht="14.4">
      <c r="A24" s="77">
        <v>22</v>
      </c>
      <c r="B24" s="78">
        <v>22</v>
      </c>
      <c r="C24" s="78">
        <v>40</v>
      </c>
      <c r="D24" s="78">
        <v>3</v>
      </c>
      <c r="E24" s="78">
        <v>45</v>
      </c>
      <c r="F24" s="78">
        <f t="shared" si="0"/>
        <v>5400</v>
      </c>
      <c r="G24" s="78">
        <f>0.5*(F24)</f>
        <v>2700</v>
      </c>
      <c r="H24" s="78">
        <f t="shared" si="2"/>
        <v>4.1022255968736596</v>
      </c>
      <c r="I24" s="78">
        <v>4.1022255999999997</v>
      </c>
      <c r="J24" s="78">
        <f t="shared" si="7"/>
        <v>164.08902399999999</v>
      </c>
      <c r="K24" s="78">
        <v>164.08902399999999</v>
      </c>
      <c r="L24" s="78">
        <f t="shared" si="9"/>
        <v>0.58603222857142856</v>
      </c>
      <c r="M24" s="80">
        <f>IF(L24&gt;Veriler!$D$1,IF(L24&gt;Veriler!$D$2,IF(L24&gt;Veriler!$D$3,IF(L24&gt;Veriler!$D$4,IF(L24&gt;Veriler!$D$5,IF(L24&gt;Veriler!$D$6,IF(L24&gt;Veriler!$D$7,IF(L24&gt;Veriler!$D$8,"ders sorumlusuna başvur",Veriler!$A$8),Veriler!$A$7),Veriler!$A$6),Veriler!$A$5),Veriler!$A$4),Veriler!$A$3),Veriler!$A$2),Veriler!$A$1)</f>
        <v>1</v>
      </c>
      <c r="N24" s="47">
        <v>1</v>
      </c>
      <c r="O24" s="47" t="str">
        <f>VLOOKUP(N21,Veriler!A$1:C$8,2,FALSE)</f>
        <v>5 x Rose</v>
      </c>
      <c r="P24" s="48" t="str">
        <f>IF(I24&lt;VLOOKUP(N24,Veriler!A$1:E$8,5,FALSE)," UYGUNDUR","KESİT AKIMI TAŞIYAMIYOR")</f>
        <v xml:space="preserve"> UYGUNDUR</v>
      </c>
    </row>
    <row r="25" spans="1:16" ht="14.4">
      <c r="A25" s="70"/>
      <c r="B25" s="70"/>
      <c r="C25" s="71"/>
      <c r="D25" s="70"/>
      <c r="E25" s="70"/>
      <c r="F25" s="70"/>
      <c r="G25" s="70"/>
      <c r="H25" s="71"/>
      <c r="I25" s="70"/>
      <c r="J25" s="70"/>
      <c r="K25" s="70"/>
      <c r="L25" s="70"/>
      <c r="M25" s="70"/>
      <c r="N25" s="71"/>
      <c r="O25" s="71"/>
      <c r="P25" s="71"/>
    </row>
    <row r="26" spans="1:16" ht="14.4">
      <c r="A26" s="70"/>
      <c r="B26" s="70"/>
      <c r="C26" s="71"/>
      <c r="D26" s="70"/>
      <c r="E26" s="70"/>
      <c r="F26" s="70"/>
      <c r="G26" s="70"/>
      <c r="H26" s="71"/>
      <c r="I26" s="70"/>
      <c r="J26" s="70"/>
      <c r="K26" s="70"/>
      <c r="L26" s="70"/>
      <c r="M26" s="70"/>
      <c r="N26" s="71"/>
      <c r="O26" s="71"/>
      <c r="P26" s="71"/>
    </row>
    <row r="27" spans="1:16" ht="14.4">
      <c r="A27" s="70"/>
      <c r="B27" s="70"/>
      <c r="C27" s="71"/>
      <c r="D27" s="70"/>
      <c r="E27" s="70"/>
      <c r="F27" s="70"/>
      <c r="G27" s="70"/>
      <c r="H27" s="71"/>
      <c r="I27" s="70"/>
      <c r="J27" s="70"/>
      <c r="K27" s="70"/>
      <c r="L27" s="70"/>
      <c r="M27" s="70"/>
      <c r="N27" s="71"/>
      <c r="O27" s="71"/>
      <c r="P27" s="71"/>
    </row>
    <row r="28" spans="1:16" ht="14.4">
      <c r="A28" s="70"/>
      <c r="B28" s="70"/>
      <c r="C28" s="71"/>
      <c r="D28" s="70"/>
      <c r="E28" s="70"/>
      <c r="F28" s="70"/>
      <c r="G28" s="70"/>
      <c r="H28" s="71"/>
      <c r="I28" s="70"/>
      <c r="J28" s="70"/>
      <c r="K28" s="70"/>
      <c r="L28" s="70"/>
      <c r="M28" s="70"/>
      <c r="N28" s="71"/>
      <c r="O28" s="71"/>
      <c r="P28" s="71"/>
    </row>
    <row r="29" spans="1:16" ht="14.4">
      <c r="A29" s="70"/>
      <c r="B29" s="70"/>
      <c r="C29" s="71"/>
      <c r="D29" s="70"/>
      <c r="E29" s="70"/>
      <c r="F29" s="70"/>
      <c r="G29" s="70"/>
      <c r="H29" s="71"/>
      <c r="I29" s="70"/>
      <c r="J29" s="70"/>
      <c r="K29" s="70"/>
      <c r="L29" s="70"/>
      <c r="M29" s="70"/>
      <c r="N29" s="71"/>
      <c r="O29" s="71"/>
      <c r="P29" s="71"/>
    </row>
    <row r="30" spans="1:16" ht="14.4">
      <c r="A30" s="70"/>
      <c r="B30" s="70"/>
      <c r="C30" s="71"/>
      <c r="D30" s="70"/>
      <c r="E30" s="70"/>
      <c r="F30" s="70"/>
      <c r="G30" s="70"/>
      <c r="H30" s="71"/>
      <c r="I30" s="70"/>
      <c r="J30" s="70"/>
      <c r="K30" s="70"/>
      <c r="L30" s="70"/>
      <c r="M30" s="70"/>
      <c r="N30" s="71"/>
      <c r="O30" s="71"/>
      <c r="P30" s="71"/>
    </row>
    <row r="31" spans="1:16" ht="14.4">
      <c r="A31" s="70"/>
      <c r="B31" s="70"/>
      <c r="C31" s="71"/>
      <c r="D31" s="70"/>
      <c r="E31" s="70"/>
      <c r="F31" s="70"/>
      <c r="G31" s="70"/>
      <c r="H31" s="71"/>
      <c r="I31" s="70"/>
      <c r="J31" s="70"/>
      <c r="K31" s="70"/>
      <c r="L31" s="70"/>
      <c r="M31" s="70"/>
      <c r="N31" s="71"/>
      <c r="O31" s="71"/>
      <c r="P31" s="71"/>
    </row>
    <row r="32" spans="1:16" ht="14.4">
      <c r="A32" s="70"/>
      <c r="B32" s="70"/>
      <c r="C32" s="71"/>
      <c r="D32" s="70"/>
      <c r="E32" s="70"/>
      <c r="F32" s="70"/>
      <c r="G32" s="70"/>
      <c r="H32" s="71"/>
      <c r="I32" s="70"/>
      <c r="J32" s="70"/>
      <c r="K32" s="70"/>
      <c r="L32" s="70"/>
      <c r="M32" s="70"/>
      <c r="N32" s="71"/>
      <c r="O32" s="71"/>
      <c r="P32" s="71"/>
    </row>
    <row r="33" spans="1:16" ht="14.4">
      <c r="A33" s="70"/>
      <c r="B33" s="70"/>
      <c r="C33" s="71"/>
      <c r="D33" s="70"/>
      <c r="E33" s="70"/>
      <c r="F33" s="70"/>
      <c r="G33" s="70"/>
      <c r="H33" s="71"/>
      <c r="I33" s="70"/>
      <c r="J33" s="70"/>
      <c r="K33" s="70"/>
      <c r="L33" s="70"/>
      <c r="M33" s="70"/>
      <c r="N33" s="71"/>
      <c r="O33" s="71"/>
      <c r="P33" s="71"/>
    </row>
    <row r="34" spans="1:16" ht="14.4">
      <c r="A34" s="70"/>
      <c r="B34" s="70"/>
      <c r="C34" s="71"/>
      <c r="D34" s="70"/>
      <c r="E34" s="70"/>
      <c r="F34" s="70"/>
      <c r="G34" s="70"/>
      <c r="H34" s="71"/>
      <c r="I34" s="70"/>
      <c r="J34" s="70"/>
      <c r="K34" s="70"/>
      <c r="L34" s="70"/>
      <c r="M34" s="70"/>
      <c r="N34" s="71"/>
      <c r="O34" s="71"/>
      <c r="P34" s="71"/>
    </row>
    <row r="35" spans="1:16" ht="14.4">
      <c r="A35" s="70"/>
      <c r="B35" s="70"/>
      <c r="C35" s="71"/>
      <c r="D35" s="70"/>
      <c r="E35" s="70"/>
      <c r="F35" s="70"/>
      <c r="G35" s="70"/>
      <c r="H35" s="71"/>
      <c r="I35" s="70"/>
      <c r="J35" s="70"/>
      <c r="K35" s="70"/>
      <c r="L35" s="70"/>
      <c r="M35" s="70"/>
      <c r="N35" s="71"/>
      <c r="O35" s="71"/>
      <c r="P35" s="71"/>
    </row>
    <row r="36" spans="1:16" ht="14.4">
      <c r="A36" s="70"/>
      <c r="B36" s="70"/>
      <c r="C36" s="71"/>
      <c r="D36" s="70"/>
      <c r="E36" s="70"/>
      <c r="F36" s="70"/>
      <c r="G36" s="70"/>
      <c r="H36" s="71"/>
      <c r="I36" s="70"/>
      <c r="J36" s="70"/>
      <c r="K36" s="70"/>
      <c r="L36" s="70"/>
      <c r="M36" s="70"/>
      <c r="N36" s="71"/>
      <c r="O36" s="71"/>
      <c r="P36" s="71"/>
    </row>
    <row r="37" spans="1:16" ht="14.4">
      <c r="A37" s="70"/>
      <c r="B37" s="70"/>
      <c r="C37" s="71"/>
      <c r="D37" s="70"/>
      <c r="E37" s="70"/>
      <c r="F37" s="70"/>
      <c r="G37" s="70"/>
      <c r="H37" s="71"/>
      <c r="I37" s="70"/>
      <c r="J37" s="70"/>
      <c r="K37" s="70"/>
      <c r="L37" s="70"/>
      <c r="M37" s="70"/>
      <c r="N37" s="71"/>
      <c r="O37" s="71"/>
      <c r="P37" s="71"/>
    </row>
    <row r="38" spans="1:16" ht="14.4">
      <c r="A38" s="70"/>
      <c r="B38" s="70"/>
      <c r="C38" s="71"/>
      <c r="D38" s="70"/>
      <c r="E38" s="70"/>
      <c r="F38" s="70"/>
      <c r="G38" s="70"/>
      <c r="H38" s="71"/>
      <c r="I38" s="70"/>
      <c r="J38" s="70"/>
      <c r="K38" s="70"/>
      <c r="L38" s="70"/>
      <c r="M38" s="70"/>
      <c r="N38" s="71"/>
      <c r="O38" s="71"/>
      <c r="P38" s="71"/>
    </row>
    <row r="39" spans="1:16" ht="14.4">
      <c r="A39" s="70"/>
      <c r="B39" s="70"/>
      <c r="C39" s="71"/>
      <c r="D39" s="70"/>
      <c r="E39" s="70"/>
      <c r="F39" s="70"/>
      <c r="G39" s="70"/>
      <c r="H39" s="71"/>
      <c r="I39" s="70"/>
      <c r="J39" s="70"/>
      <c r="K39" s="70"/>
      <c r="L39" s="70"/>
      <c r="M39" s="70"/>
      <c r="N39" s="71"/>
      <c r="O39" s="71"/>
      <c r="P39" s="71"/>
    </row>
    <row r="40" spans="1:16" ht="14.4">
      <c r="A40" s="70"/>
      <c r="B40" s="70"/>
      <c r="C40" s="71"/>
      <c r="D40" s="70"/>
      <c r="E40" s="70"/>
      <c r="F40" s="70"/>
      <c r="G40" s="70"/>
      <c r="H40" s="71"/>
      <c r="I40" s="70"/>
      <c r="J40" s="70"/>
      <c r="K40" s="70"/>
      <c r="L40" s="70"/>
      <c r="M40" s="70"/>
      <c r="N40" s="71"/>
      <c r="O40" s="71"/>
      <c r="P40" s="71"/>
    </row>
    <row r="41" spans="1:16" ht="14.4">
      <c r="A41" s="70"/>
      <c r="B41" s="70"/>
      <c r="C41" s="71"/>
      <c r="D41" s="70"/>
      <c r="E41" s="70"/>
      <c r="F41" s="70"/>
      <c r="G41" s="70"/>
      <c r="H41" s="71"/>
      <c r="I41" s="70"/>
      <c r="J41" s="70"/>
      <c r="K41" s="70"/>
      <c r="L41" s="70"/>
      <c r="M41" s="70"/>
      <c r="N41" s="71"/>
      <c r="O41" s="71"/>
      <c r="P41" s="71"/>
    </row>
    <row r="42" spans="1:16" ht="14.4">
      <c r="A42" s="70"/>
      <c r="B42" s="70"/>
      <c r="C42" s="71"/>
      <c r="D42" s="70"/>
      <c r="E42" s="70"/>
      <c r="F42" s="70"/>
      <c r="G42" s="70"/>
      <c r="H42" s="71"/>
      <c r="I42" s="70"/>
      <c r="J42" s="70"/>
      <c r="K42" s="70"/>
      <c r="L42" s="70"/>
      <c r="M42" s="70"/>
      <c r="N42" s="71"/>
      <c r="O42" s="71"/>
      <c r="P42" s="71"/>
    </row>
    <row r="43" spans="1:16" ht="14.4">
      <c r="A43" s="70"/>
      <c r="B43" s="70"/>
      <c r="C43" s="71"/>
      <c r="D43" s="70"/>
      <c r="E43" s="70"/>
      <c r="F43" s="70"/>
      <c r="G43" s="70"/>
      <c r="H43" s="71"/>
      <c r="I43" s="70"/>
      <c r="J43" s="70"/>
      <c r="K43" s="70"/>
      <c r="L43" s="70"/>
      <c r="M43" s="70"/>
      <c r="N43" s="71"/>
      <c r="O43" s="71"/>
      <c r="P43" s="71"/>
    </row>
    <row r="44" spans="1:16" ht="14.4">
      <c r="A44" s="70"/>
      <c r="B44" s="70"/>
      <c r="C44" s="71"/>
      <c r="D44" s="70"/>
      <c r="E44" s="70"/>
      <c r="F44" s="70"/>
      <c r="G44" s="70"/>
      <c r="H44" s="71"/>
      <c r="I44" s="70"/>
      <c r="J44" s="70"/>
      <c r="K44" s="70"/>
      <c r="L44" s="70"/>
      <c r="M44" s="70"/>
      <c r="N44" s="71"/>
      <c r="O44" s="71"/>
      <c r="P44" s="71"/>
    </row>
  </sheetData>
  <pageMargins left="0.7" right="0.7" top="0.75" bottom="0.75" header="0.3" footer="0.3"/>
  <pageSetup orientation="portrait"/>
  <drawing r:id="rId1"/>
  <legacyDrawing r:id="rId2"/>
  <oleObjects>
    <mc:AlternateContent xmlns:mc="http://schemas.openxmlformats.org/markup-compatibility/2006">
      <mc:Choice Requires="x14">
        <oleObject progId="AutoCAD.Drawing.24" shapeId="2051" r:id="rId3">
          <objectPr defaultSize="0" autoPict="0" r:id="rId4">
            <anchor moveWithCells="1">
              <from>
                <xdr:col>2</xdr:col>
                <xdr:colOff>381000</xdr:colOff>
                <xdr:row>28</xdr:row>
                <xdr:rowOff>30480</xdr:rowOff>
              </from>
              <to>
                <xdr:col>22</xdr:col>
                <xdr:colOff>60960</xdr:colOff>
                <xdr:row>64</xdr:row>
                <xdr:rowOff>114300</xdr:rowOff>
              </to>
            </anchor>
          </objectPr>
        </oleObject>
      </mc:Choice>
      <mc:Fallback>
        <oleObject progId="AutoCAD.Drawing.24" shapeId="2051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A7" sqref="A7"/>
    </sheetView>
  </sheetViews>
  <sheetFormatPr defaultRowHeight="13.8"/>
  <cols>
    <col min="1" max="1" width="24.09765625" customWidth="1"/>
  </cols>
  <sheetData>
    <row r="1" spans="1:15" ht="26.4">
      <c r="A1" s="87" t="s">
        <v>65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spans="1:15" ht="28.8">
      <c r="A2" s="89" t="s">
        <v>66</v>
      </c>
      <c r="B2" s="90"/>
      <c r="C2" s="91"/>
      <c r="D2" s="91"/>
      <c r="E2" s="91"/>
      <c r="F2" s="91"/>
      <c r="G2" s="91">
        <v>58.5</v>
      </c>
      <c r="H2" s="91"/>
      <c r="I2" s="91">
        <v>201</v>
      </c>
      <c r="J2" s="91"/>
      <c r="K2" s="92">
        <v>250.5</v>
      </c>
      <c r="L2" s="93"/>
      <c r="M2" s="91">
        <v>160.5</v>
      </c>
      <c r="N2" s="91"/>
      <c r="O2" s="62">
        <v>62.5</v>
      </c>
    </row>
    <row r="3" spans="1:15" ht="14.4">
      <c r="A3" s="94" t="s">
        <v>67</v>
      </c>
      <c r="B3" s="91"/>
      <c r="C3" s="91"/>
      <c r="D3" s="91"/>
      <c r="E3" s="91"/>
      <c r="F3" s="91">
        <f t="shared" ref="F3" si="0">H3+G2</f>
        <v>733</v>
      </c>
      <c r="G3" s="91"/>
      <c r="H3" s="91">
        <f>J3+I2</f>
        <v>674.5</v>
      </c>
      <c r="I3" s="91"/>
      <c r="J3" s="91">
        <f t="shared" ref="J3" si="1">L3+K2</f>
        <v>473.5</v>
      </c>
      <c r="K3" s="91"/>
      <c r="L3" s="91">
        <f>N3+M2</f>
        <v>223</v>
      </c>
      <c r="M3" s="91"/>
      <c r="N3" s="91">
        <v>62.5</v>
      </c>
      <c r="O3" s="91"/>
    </row>
    <row r="4" spans="1:15" ht="14.4">
      <c r="A4" s="94" t="s">
        <v>68</v>
      </c>
      <c r="B4" s="91"/>
      <c r="C4" s="91"/>
      <c r="D4" s="91"/>
      <c r="E4" s="91"/>
      <c r="F4" s="91">
        <v>45</v>
      </c>
      <c r="G4" s="91"/>
      <c r="H4" s="91">
        <v>45</v>
      </c>
      <c r="I4" s="91"/>
      <c r="J4" s="91">
        <v>45</v>
      </c>
      <c r="K4" s="91"/>
      <c r="L4" s="91">
        <v>45</v>
      </c>
      <c r="M4" s="91"/>
      <c r="N4" s="91">
        <v>45</v>
      </c>
      <c r="O4" s="91"/>
    </row>
    <row r="5" spans="1:15" ht="14.4">
      <c r="A5" s="94" t="s">
        <v>69</v>
      </c>
      <c r="B5" s="91"/>
      <c r="C5" s="91"/>
      <c r="D5" s="91"/>
      <c r="E5" s="91"/>
      <c r="F5" s="91">
        <v>4.96</v>
      </c>
      <c r="G5" s="91"/>
      <c r="H5" s="91">
        <v>19.8</v>
      </c>
      <c r="I5" s="91"/>
      <c r="J5" s="91">
        <v>7.42</v>
      </c>
      <c r="K5" s="91"/>
      <c r="L5" s="91">
        <v>9.36</v>
      </c>
      <c r="M5" s="91"/>
      <c r="N5" s="91">
        <v>9.3000000000000007</v>
      </c>
      <c r="O5" s="91"/>
    </row>
    <row r="6" spans="1:15" ht="14.4">
      <c r="A6" s="94" t="s">
        <v>70</v>
      </c>
      <c r="B6" s="91"/>
      <c r="C6" s="91"/>
      <c r="D6" s="91"/>
      <c r="E6" s="91"/>
      <c r="F6" s="91">
        <f>F5*F4*F3*G2*10^-7</f>
        <v>0.95709275999999988</v>
      </c>
      <c r="G6" s="91"/>
      <c r="H6" s="91">
        <f>H5*H4*H3*10^-7*117</f>
        <v>7.03146015</v>
      </c>
      <c r="I6" s="91"/>
      <c r="J6" s="91">
        <f>J5*J4*J3*10^-7*13</f>
        <v>0.20553214499999997</v>
      </c>
      <c r="K6" s="91"/>
      <c r="L6" s="91">
        <f>L5*L4*L3*10^-7*56</f>
        <v>0.52599455999999989</v>
      </c>
      <c r="M6" s="91"/>
      <c r="N6" s="91">
        <f>N5*N4*N3*10^-7*125</f>
        <v>0.32695312500000007</v>
      </c>
      <c r="O6" s="91"/>
    </row>
    <row r="7" spans="1:15" ht="14.4">
      <c r="A7" s="94"/>
      <c r="B7" s="96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</row>
  </sheetData>
  <mergeCells count="36">
    <mergeCell ref="B7:O7"/>
    <mergeCell ref="N5:O5"/>
    <mergeCell ref="B6:C6"/>
    <mergeCell ref="D6:E6"/>
    <mergeCell ref="F6:G6"/>
    <mergeCell ref="H6:I6"/>
    <mergeCell ref="J6:K6"/>
    <mergeCell ref="L6:M6"/>
    <mergeCell ref="N6:O6"/>
    <mergeCell ref="B5:C5"/>
    <mergeCell ref="D5:E5"/>
    <mergeCell ref="F5:G5"/>
    <mergeCell ref="H5:I5"/>
    <mergeCell ref="J5:K5"/>
    <mergeCell ref="L5:M5"/>
    <mergeCell ref="N3:O3"/>
    <mergeCell ref="B4:C4"/>
    <mergeCell ref="D4:E4"/>
    <mergeCell ref="F4:G4"/>
    <mergeCell ref="H4:I4"/>
    <mergeCell ref="J4:K4"/>
    <mergeCell ref="L4:M4"/>
    <mergeCell ref="N4:O4"/>
    <mergeCell ref="B3:C3"/>
    <mergeCell ref="D3:E3"/>
    <mergeCell ref="F3:G3"/>
    <mergeCell ref="H3:I3"/>
    <mergeCell ref="J3:K3"/>
    <mergeCell ref="L3:M3"/>
    <mergeCell ref="B1:O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D17" sqref="D17"/>
    </sheetView>
  </sheetViews>
  <sheetFormatPr defaultRowHeight="13.8"/>
  <cols>
    <col min="1" max="1" width="18.19921875" customWidth="1"/>
  </cols>
  <sheetData>
    <row r="1" spans="1:11" ht="26.4">
      <c r="A1" s="112" t="s">
        <v>65</v>
      </c>
      <c r="B1" s="110"/>
      <c r="C1" s="109"/>
      <c r="D1" s="109"/>
      <c r="E1" s="109"/>
      <c r="F1" s="109"/>
      <c r="G1" s="109"/>
      <c r="H1" s="109"/>
      <c r="I1" s="109"/>
      <c r="J1" s="109"/>
      <c r="K1" s="108"/>
    </row>
    <row r="2" spans="1:11" ht="82.8">
      <c r="A2" s="113" t="s">
        <v>66</v>
      </c>
      <c r="B2" s="111">
        <v>125</v>
      </c>
      <c r="C2" s="111">
        <v>125</v>
      </c>
      <c r="D2" s="111">
        <v>125</v>
      </c>
      <c r="E2" s="111">
        <v>625</v>
      </c>
      <c r="F2" s="111">
        <v>875</v>
      </c>
      <c r="G2" s="111">
        <v>125</v>
      </c>
      <c r="H2" s="111">
        <v>375</v>
      </c>
      <c r="I2" s="111">
        <v>125</v>
      </c>
      <c r="J2" s="111">
        <v>125</v>
      </c>
      <c r="K2" s="111">
        <v>125</v>
      </c>
    </row>
    <row r="3" spans="1:11">
      <c r="A3" s="114" t="s">
        <v>67</v>
      </c>
      <c r="B3" s="111">
        <v>750</v>
      </c>
      <c r="C3" s="111">
        <v>2625</v>
      </c>
      <c r="D3" s="111">
        <v>2500</v>
      </c>
      <c r="E3" s="111">
        <v>2375</v>
      </c>
      <c r="F3" s="111">
        <v>1750</v>
      </c>
      <c r="G3" s="111">
        <v>875</v>
      </c>
      <c r="H3" s="111">
        <v>750</v>
      </c>
      <c r="I3" s="111">
        <v>375</v>
      </c>
      <c r="J3" s="111">
        <v>250</v>
      </c>
      <c r="K3" s="111">
        <v>125</v>
      </c>
    </row>
    <row r="4" spans="1:11">
      <c r="A4" s="114" t="s">
        <v>79</v>
      </c>
      <c r="B4" s="134">
        <v>36.65</v>
      </c>
      <c r="C4" s="134">
        <v>55.8</v>
      </c>
      <c r="D4" s="134">
        <v>55.8</v>
      </c>
      <c r="E4" s="134">
        <v>55.8</v>
      </c>
      <c r="F4" s="134">
        <v>55.8</v>
      </c>
      <c r="G4" s="111">
        <v>55.8</v>
      </c>
      <c r="H4" s="134">
        <v>55.8</v>
      </c>
      <c r="I4" s="134">
        <v>36.65</v>
      </c>
      <c r="J4" s="134">
        <v>36.65</v>
      </c>
      <c r="K4" s="134">
        <v>36.65</v>
      </c>
    </row>
    <row r="5" spans="1:11">
      <c r="A5" s="114" t="s">
        <v>70</v>
      </c>
      <c r="B5" s="111">
        <f>B4*B3*B2*10^-7</f>
        <v>0.34359374999999998</v>
      </c>
      <c r="C5" s="134">
        <f t="shared" ref="C5:K5" si="0">C4*C3*C2*10^-7</f>
        <v>1.8309374999999999</v>
      </c>
      <c r="D5" s="134">
        <f>D4*D2*10^-7</f>
        <v>6.9749999999999999E-4</v>
      </c>
      <c r="E5" s="134">
        <f>E4*E3*10^-7</f>
        <v>1.3252499999999999E-2</v>
      </c>
      <c r="F5" s="134">
        <f>F4*F2*10^-7</f>
        <v>4.8824999999999997E-3</v>
      </c>
      <c r="G5" s="134">
        <f t="shared" si="0"/>
        <v>0.61031249999999992</v>
      </c>
      <c r="H5" s="134">
        <f t="shared" si="0"/>
        <v>1.569375</v>
      </c>
      <c r="I5" s="134">
        <f t="shared" si="0"/>
        <v>0.17179687499999999</v>
      </c>
      <c r="J5" s="134">
        <f t="shared" si="0"/>
        <v>0.11453125</v>
      </c>
      <c r="K5" s="134">
        <f t="shared" si="0"/>
        <v>5.7265625000000001E-2</v>
      </c>
    </row>
    <row r="6" spans="1:11">
      <c r="A6" s="114"/>
      <c r="B6" s="110">
        <f>B5+C5+D5+E5+F5+G5+H5+I5+J5+K5</f>
        <v>4.7166449999999998</v>
      </c>
      <c r="C6" s="109"/>
      <c r="D6" s="109"/>
      <c r="E6" s="109"/>
      <c r="F6" s="109"/>
      <c r="G6" s="109"/>
      <c r="H6" s="109"/>
      <c r="I6" s="109"/>
      <c r="J6" s="109"/>
      <c r="K6" s="108"/>
    </row>
  </sheetData>
  <mergeCells count="2">
    <mergeCell ref="B1:K1"/>
    <mergeCell ref="B6:K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>
      <selection activeCell="M6" sqref="M6"/>
    </sheetView>
  </sheetViews>
  <sheetFormatPr defaultRowHeight="13.8"/>
  <cols>
    <col min="1" max="1" width="16.19921875" customWidth="1"/>
    <col min="2" max="2" width="12.69921875" customWidth="1"/>
    <col min="3" max="3" width="17.796875" customWidth="1"/>
    <col min="4" max="4" width="13" customWidth="1"/>
    <col min="5" max="5" width="13.09765625" customWidth="1"/>
    <col min="6" max="6" width="16.8984375" customWidth="1"/>
    <col min="7" max="7" width="19.69921875" customWidth="1"/>
  </cols>
  <sheetData>
    <row r="1" spans="1:16" ht="48">
      <c r="A1" s="99" t="s">
        <v>9</v>
      </c>
      <c r="B1" s="99" t="s">
        <v>10</v>
      </c>
      <c r="C1" s="99" t="s">
        <v>11</v>
      </c>
      <c r="D1" s="99" t="s">
        <v>12</v>
      </c>
      <c r="E1" s="99" t="s">
        <v>13</v>
      </c>
      <c r="F1" s="99" t="s">
        <v>14</v>
      </c>
      <c r="G1" s="100" t="s">
        <v>15</v>
      </c>
      <c r="H1" s="102"/>
      <c r="I1" s="102"/>
      <c r="J1" s="102"/>
      <c r="K1" s="102"/>
      <c r="L1" s="102"/>
      <c r="M1" s="103"/>
      <c r="N1" s="104"/>
      <c r="O1" s="104"/>
      <c r="P1" s="104"/>
    </row>
    <row r="2" spans="1:16" ht="14.4">
      <c r="A2" s="76"/>
      <c r="B2" s="76"/>
      <c r="C2" s="76"/>
      <c r="D2" s="76"/>
      <c r="E2" s="76"/>
      <c r="F2" s="76"/>
      <c r="G2" s="101"/>
      <c r="H2" s="105"/>
      <c r="I2" s="105"/>
      <c r="J2" s="105"/>
      <c r="K2" s="105"/>
      <c r="L2" s="105"/>
      <c r="M2" s="106"/>
      <c r="N2" s="38"/>
      <c r="O2" s="38"/>
      <c r="P2" s="38"/>
    </row>
    <row r="3" spans="1:16" ht="43.2">
      <c r="A3" s="76">
        <v>4565.7770894141704</v>
      </c>
      <c r="B3" s="76">
        <v>24204.156578991751</v>
      </c>
      <c r="C3" s="76">
        <v>86.443416353541963</v>
      </c>
      <c r="D3" s="76">
        <v>8</v>
      </c>
      <c r="E3" s="76">
        <v>8</v>
      </c>
      <c r="F3" s="76" t="s">
        <v>47</v>
      </c>
      <c r="G3" s="101" t="s">
        <v>27</v>
      </c>
      <c r="H3" s="105"/>
      <c r="I3" s="105"/>
      <c r="J3" s="105"/>
      <c r="K3" s="105"/>
      <c r="L3" s="105"/>
      <c r="M3" s="106"/>
      <c r="N3" s="38"/>
      <c r="O3" s="38"/>
      <c r="P3" s="38"/>
    </row>
    <row r="4" spans="1:16" ht="43.2">
      <c r="A4" s="76">
        <v>4381.1769375548702</v>
      </c>
      <c r="B4" s="76">
        <v>19638.379489577579</v>
      </c>
      <c r="C4" s="76">
        <v>70.13706960563421</v>
      </c>
      <c r="D4" s="76">
        <v>7</v>
      </c>
      <c r="E4" s="76">
        <v>8</v>
      </c>
      <c r="F4" s="76" t="s">
        <v>47</v>
      </c>
      <c r="G4" s="101" t="s">
        <v>27</v>
      </c>
      <c r="H4" s="105"/>
      <c r="I4" s="105"/>
      <c r="J4" s="105"/>
      <c r="K4" s="105"/>
      <c r="L4" s="105"/>
      <c r="M4" s="106"/>
      <c r="N4" s="38"/>
      <c r="O4" s="38"/>
      <c r="P4" s="38"/>
    </row>
    <row r="5" spans="1:16" ht="43.2">
      <c r="A5" s="76">
        <v>4196.5767856955408</v>
      </c>
      <c r="B5" s="76">
        <v>15257.202552022711</v>
      </c>
      <c r="C5" s="76">
        <v>54.490009114366821</v>
      </c>
      <c r="D5" s="76">
        <v>6</v>
      </c>
      <c r="E5" s="76">
        <v>8</v>
      </c>
      <c r="F5" s="76" t="s">
        <v>47</v>
      </c>
      <c r="G5" s="101" t="s">
        <v>27</v>
      </c>
      <c r="H5" s="105"/>
      <c r="I5" s="105"/>
      <c r="J5" s="105"/>
      <c r="K5" s="105"/>
      <c r="L5" s="105"/>
      <c r="M5" s="106"/>
      <c r="N5" s="38"/>
      <c r="O5" s="38"/>
      <c r="P5" s="38"/>
    </row>
    <row r="6" spans="1:16" ht="43.2">
      <c r="A6" s="76">
        <v>3619.0859772862714</v>
      </c>
      <c r="B6" s="76">
        <v>11060.62576632717</v>
      </c>
      <c r="C6" s="76">
        <v>39.502234879739895</v>
      </c>
      <c r="D6" s="76">
        <v>4</v>
      </c>
      <c r="E6" s="76">
        <v>8</v>
      </c>
      <c r="F6" s="76" t="s">
        <v>47</v>
      </c>
      <c r="G6" s="101" t="s">
        <v>27</v>
      </c>
      <c r="H6" s="105"/>
      <c r="I6" s="105"/>
      <c r="J6" s="105"/>
      <c r="K6" s="105"/>
      <c r="L6" s="105"/>
      <c r="M6" s="106"/>
      <c r="N6" s="38"/>
      <c r="O6" s="38"/>
      <c r="P6" s="38"/>
    </row>
    <row r="7" spans="1:16" ht="28.8">
      <c r="A7" s="76"/>
      <c r="B7" s="76"/>
      <c r="C7" s="76"/>
      <c r="D7" s="76">
        <v>1</v>
      </c>
      <c r="E7" s="76">
        <v>1</v>
      </c>
      <c r="F7" s="76" t="s">
        <v>28</v>
      </c>
      <c r="G7" s="101" t="s">
        <v>27</v>
      </c>
      <c r="H7" s="105"/>
      <c r="I7" s="105"/>
      <c r="J7" s="105"/>
      <c r="K7" s="105"/>
      <c r="L7" s="105"/>
      <c r="M7" s="106"/>
      <c r="N7" s="38"/>
      <c r="O7" s="38"/>
      <c r="P7" s="38"/>
    </row>
    <row r="8" spans="1:16" ht="28.8">
      <c r="A8" s="76"/>
      <c r="B8" s="76"/>
      <c r="C8" s="76"/>
      <c r="D8" s="76">
        <v>1</v>
      </c>
      <c r="E8" s="76">
        <v>1</v>
      </c>
      <c r="F8" s="76" t="s">
        <v>28</v>
      </c>
      <c r="G8" s="101" t="s">
        <v>27</v>
      </c>
      <c r="H8" s="105"/>
      <c r="I8" s="105"/>
      <c r="J8" s="105"/>
      <c r="K8" s="105"/>
      <c r="L8" s="105"/>
      <c r="M8" s="106"/>
      <c r="N8" s="38"/>
      <c r="O8" s="38"/>
      <c r="P8" s="38"/>
    </row>
    <row r="9" spans="1:16" ht="28.8">
      <c r="A9" s="76"/>
      <c r="B9" s="76"/>
      <c r="C9" s="76"/>
      <c r="D9" s="76">
        <v>1</v>
      </c>
      <c r="E9" s="76">
        <v>1</v>
      </c>
      <c r="F9" s="76" t="s">
        <v>28</v>
      </c>
      <c r="G9" s="101" t="s">
        <v>27</v>
      </c>
      <c r="H9" s="105"/>
      <c r="I9" s="105"/>
      <c r="J9" s="105"/>
      <c r="K9" s="105"/>
      <c r="L9" s="105"/>
      <c r="M9" s="106"/>
      <c r="N9" s="38"/>
      <c r="O9" s="38"/>
      <c r="P9" s="38"/>
    </row>
    <row r="10" spans="1:16" ht="28.8">
      <c r="A10" s="76"/>
      <c r="B10" s="76"/>
      <c r="C10" s="76"/>
      <c r="D10" s="76">
        <v>1</v>
      </c>
      <c r="E10" s="76">
        <v>1</v>
      </c>
      <c r="F10" s="76" t="s">
        <v>28</v>
      </c>
      <c r="G10" s="101" t="s">
        <v>27</v>
      </c>
      <c r="H10" s="105"/>
      <c r="I10" s="105"/>
      <c r="J10" s="105"/>
      <c r="K10" s="105"/>
      <c r="L10" s="105"/>
      <c r="M10" s="106"/>
      <c r="N10" s="38"/>
      <c r="O10" s="38"/>
      <c r="P10" s="38"/>
    </row>
    <row r="11" spans="1:16" ht="57.6">
      <c r="A11" s="76">
        <v>3277.678252008348</v>
      </c>
      <c r="B11" s="76">
        <v>7441.5397890408985</v>
      </c>
      <c r="C11" s="76">
        <v>26.57692781800321</v>
      </c>
      <c r="D11" s="76">
        <v>2</v>
      </c>
      <c r="E11" s="76">
        <v>2</v>
      </c>
      <c r="F11" s="76" t="s">
        <v>36</v>
      </c>
      <c r="G11" s="101" t="s">
        <v>27</v>
      </c>
      <c r="H11" s="105"/>
      <c r="I11" s="105"/>
      <c r="J11" s="105"/>
      <c r="K11" s="105"/>
      <c r="L11" s="105"/>
      <c r="M11" s="106"/>
      <c r="N11" s="38"/>
      <c r="O11" s="38"/>
      <c r="P11" s="38"/>
    </row>
    <row r="12" spans="1:16" ht="28.8">
      <c r="A12" s="76"/>
      <c r="B12" s="76"/>
      <c r="C12" s="76"/>
      <c r="D12" s="76">
        <v>1</v>
      </c>
      <c r="E12" s="76">
        <v>1</v>
      </c>
      <c r="F12" s="76" t="s">
        <v>28</v>
      </c>
      <c r="G12" s="101" t="s">
        <v>27</v>
      </c>
      <c r="H12" s="105"/>
      <c r="I12" s="105"/>
      <c r="J12" s="105"/>
      <c r="K12" s="105"/>
      <c r="L12" s="105"/>
      <c r="M12" s="106"/>
      <c r="N12" s="38"/>
      <c r="O12" s="38"/>
      <c r="P12" s="38"/>
    </row>
    <row r="13" spans="1:16" ht="28.8">
      <c r="A13" s="76"/>
      <c r="B13" s="76"/>
      <c r="C13" s="76"/>
      <c r="D13" s="76">
        <v>1</v>
      </c>
      <c r="E13" s="76">
        <v>1</v>
      </c>
      <c r="F13" s="76" t="s">
        <v>28</v>
      </c>
      <c r="G13" s="101" t="s">
        <v>27</v>
      </c>
      <c r="H13" s="105"/>
      <c r="I13" s="105"/>
      <c r="J13" s="105"/>
      <c r="K13" s="105"/>
      <c r="L13" s="105"/>
      <c r="M13" s="106"/>
      <c r="N13" s="38"/>
      <c r="O13" s="38"/>
      <c r="P13" s="38"/>
    </row>
    <row r="14" spans="1:16" ht="28.8">
      <c r="A14" s="76"/>
      <c r="B14" s="76"/>
      <c r="C14" s="76"/>
      <c r="D14" s="76">
        <v>1</v>
      </c>
      <c r="E14" s="76">
        <v>1</v>
      </c>
      <c r="F14" s="76" t="s">
        <v>28</v>
      </c>
      <c r="G14" s="101" t="s">
        <v>27</v>
      </c>
      <c r="H14" s="105"/>
      <c r="I14" s="105"/>
      <c r="J14" s="105"/>
      <c r="K14" s="105"/>
      <c r="L14" s="105"/>
      <c r="M14" s="106"/>
      <c r="N14" s="38"/>
      <c r="O14" s="38"/>
      <c r="P14" s="38"/>
    </row>
    <row r="15" spans="1:16" ht="28.8">
      <c r="A15" s="76"/>
      <c r="B15" s="76"/>
      <c r="C15" s="76"/>
      <c r="D15" s="76">
        <v>1</v>
      </c>
      <c r="E15" s="76">
        <v>1</v>
      </c>
      <c r="F15" s="76" t="s">
        <v>28</v>
      </c>
      <c r="G15" s="101" t="s">
        <v>27</v>
      </c>
      <c r="H15" s="105"/>
      <c r="I15" s="105"/>
      <c r="J15" s="105"/>
      <c r="K15" s="105"/>
      <c r="L15" s="105"/>
      <c r="M15" s="106"/>
      <c r="N15" s="38"/>
      <c r="O15" s="38"/>
      <c r="P15" s="38"/>
    </row>
    <row r="16" spans="1:16" ht="28.8">
      <c r="A16" s="76"/>
      <c r="B16" s="76"/>
      <c r="C16" s="76"/>
      <c r="D16" s="76">
        <v>1</v>
      </c>
      <c r="E16" s="76">
        <v>1</v>
      </c>
      <c r="F16" s="76" t="s">
        <v>28</v>
      </c>
      <c r="G16" s="101" t="s">
        <v>27</v>
      </c>
      <c r="H16" s="105"/>
      <c r="I16" s="105"/>
      <c r="J16" s="105"/>
      <c r="K16" s="105"/>
      <c r="L16" s="105"/>
      <c r="M16" s="106"/>
      <c r="N16" s="38"/>
      <c r="O16" s="38"/>
      <c r="P16" s="38"/>
    </row>
    <row r="17" spans="1:16" ht="28.8">
      <c r="A17" s="76"/>
      <c r="B17" s="76"/>
      <c r="C17" s="76"/>
      <c r="D17" s="76">
        <v>1</v>
      </c>
      <c r="E17" s="76">
        <v>1</v>
      </c>
      <c r="F17" s="76" t="s">
        <v>28</v>
      </c>
      <c r="G17" s="101" t="s">
        <v>27</v>
      </c>
      <c r="H17" s="105"/>
      <c r="I17" s="105"/>
      <c r="J17" s="105"/>
      <c r="K17" s="105"/>
      <c r="L17" s="105"/>
      <c r="M17" s="106"/>
      <c r="N17" s="38"/>
      <c r="O17" s="38"/>
      <c r="P17" s="38"/>
    </row>
    <row r="18" spans="1:16" ht="28.8">
      <c r="A18" s="76">
        <v>1361.1184531302176</v>
      </c>
      <c r="B18" s="76">
        <v>4163.8615370325506</v>
      </c>
      <c r="C18" s="76">
        <v>14.870934060830537</v>
      </c>
      <c r="D18" s="76">
        <v>1</v>
      </c>
      <c r="E18" s="76">
        <v>1</v>
      </c>
      <c r="F18" s="76" t="s">
        <v>28</v>
      </c>
      <c r="G18" s="101" t="s">
        <v>27</v>
      </c>
      <c r="H18" s="105"/>
      <c r="I18" s="105"/>
      <c r="J18" s="105"/>
      <c r="K18" s="105"/>
      <c r="L18" s="105"/>
      <c r="M18" s="106"/>
      <c r="N18" s="38"/>
      <c r="O18" s="38"/>
      <c r="P18" s="38"/>
    </row>
    <row r="19" spans="1:16" ht="28.8">
      <c r="A19" s="76">
        <v>1200.3112097327707</v>
      </c>
      <c r="B19" s="76">
        <v>2802.7430839023332</v>
      </c>
      <c r="C19" s="76">
        <v>10.009796728222618</v>
      </c>
      <c r="D19" s="76">
        <v>1</v>
      </c>
      <c r="E19" s="76">
        <v>1</v>
      </c>
      <c r="F19" s="76" t="s">
        <v>28</v>
      </c>
      <c r="G19" s="101" t="s">
        <v>27</v>
      </c>
      <c r="H19" s="105"/>
      <c r="I19" s="105"/>
      <c r="J19" s="105"/>
      <c r="K19" s="105"/>
      <c r="L19" s="105"/>
      <c r="M19" s="106"/>
      <c r="N19" s="38"/>
      <c r="O19" s="38"/>
      <c r="P19" s="38"/>
    </row>
    <row r="20" spans="1:16" ht="28.8">
      <c r="A20" s="76"/>
      <c r="B20" s="76"/>
      <c r="C20" s="76"/>
      <c r="D20" s="76">
        <v>1</v>
      </c>
      <c r="E20" s="76">
        <v>1</v>
      </c>
      <c r="F20" s="76" t="s">
        <v>28</v>
      </c>
      <c r="G20" s="101" t="s">
        <v>27</v>
      </c>
      <c r="H20" s="105"/>
      <c r="I20" s="105"/>
      <c r="J20" s="105"/>
      <c r="K20" s="105"/>
      <c r="L20" s="105"/>
      <c r="M20" s="106"/>
      <c r="N20" s="38"/>
      <c r="O20" s="38"/>
      <c r="P20" s="38"/>
    </row>
    <row r="21" spans="1:16" ht="28.8">
      <c r="A21" s="76"/>
      <c r="B21" s="76"/>
      <c r="C21" s="76"/>
      <c r="D21" s="76">
        <v>1</v>
      </c>
      <c r="E21" s="76">
        <v>1</v>
      </c>
      <c r="F21" s="76" t="s">
        <v>28</v>
      </c>
      <c r="G21" s="101" t="s">
        <v>27</v>
      </c>
      <c r="H21" s="105"/>
      <c r="I21" s="105"/>
      <c r="J21" s="105"/>
      <c r="K21" s="105"/>
      <c r="L21" s="105"/>
      <c r="M21" s="106"/>
      <c r="N21" s="38"/>
      <c r="O21" s="38"/>
      <c r="P21" s="38"/>
    </row>
    <row r="22" spans="1:16" ht="28.8">
      <c r="A22" s="76">
        <v>861.46737546852</v>
      </c>
      <c r="B22" s="76">
        <v>1602.4318741695624</v>
      </c>
      <c r="C22" s="76">
        <v>5.7229709791770089</v>
      </c>
      <c r="D22" s="76">
        <v>1</v>
      </c>
      <c r="E22" s="76">
        <v>1</v>
      </c>
      <c r="F22" s="76" t="s">
        <v>28</v>
      </c>
      <c r="G22" s="101" t="s">
        <v>27</v>
      </c>
      <c r="H22" s="105"/>
      <c r="I22" s="105"/>
      <c r="J22" s="105"/>
      <c r="K22" s="105"/>
      <c r="L22" s="105"/>
      <c r="M22" s="106"/>
      <c r="N22" s="38"/>
      <c r="O22" s="38"/>
      <c r="P22" s="38"/>
    </row>
    <row r="23" spans="1:16" ht="28.8">
      <c r="A23" s="76">
        <v>576.87547470104244</v>
      </c>
      <c r="B23" s="76">
        <v>740.96449870104243</v>
      </c>
      <c r="C23" s="76">
        <v>2.6463017810751515</v>
      </c>
      <c r="D23" s="76">
        <v>1</v>
      </c>
      <c r="E23" s="76">
        <v>1</v>
      </c>
      <c r="F23" s="76" t="s">
        <v>28</v>
      </c>
      <c r="G23" s="101" t="s">
        <v>27</v>
      </c>
      <c r="H23" s="105"/>
      <c r="I23" s="105"/>
      <c r="J23" s="105"/>
      <c r="K23" s="105"/>
      <c r="L23" s="105"/>
      <c r="M23" s="106"/>
      <c r="N23" s="38"/>
      <c r="O23" s="38"/>
      <c r="P23" s="38"/>
    </row>
    <row r="24" spans="1:16" ht="28.8">
      <c r="A24" s="76">
        <v>164.08902399999999</v>
      </c>
      <c r="B24" s="76">
        <v>164.08902399999999</v>
      </c>
      <c r="C24" s="76">
        <v>0.58603222857142856</v>
      </c>
      <c r="D24" s="76">
        <v>1</v>
      </c>
      <c r="E24" s="76">
        <v>1</v>
      </c>
      <c r="F24" s="76" t="s">
        <v>28</v>
      </c>
      <c r="G24" s="101" t="s">
        <v>27</v>
      </c>
      <c r="H24" s="105"/>
      <c r="I24" s="105"/>
      <c r="J24" s="105"/>
      <c r="K24" s="105"/>
      <c r="L24" s="105"/>
      <c r="M24" s="106"/>
      <c r="N24" s="38"/>
      <c r="O24" s="38"/>
      <c r="P24" s="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9"/>
  <sheetViews>
    <sheetView topLeftCell="A49" zoomScale="69" zoomScaleNormal="80" workbookViewId="0">
      <selection activeCell="G3" sqref="G3"/>
    </sheetView>
  </sheetViews>
  <sheetFormatPr defaultColWidth="9" defaultRowHeight="13.8"/>
  <cols>
    <col min="5" max="5" width="15.69921875" customWidth="1"/>
    <col min="6" max="6" width="12.296875" customWidth="1"/>
    <col min="7" max="7" width="13.69921875" customWidth="1"/>
    <col min="8" max="8" width="12.09765625" customWidth="1"/>
    <col min="9" max="9" width="11" customWidth="1"/>
    <col min="10" max="10" width="13.09765625" customWidth="1"/>
    <col min="11" max="11" width="19.8984375" customWidth="1"/>
    <col min="12" max="12" width="14.296875" customWidth="1"/>
    <col min="13" max="13" width="16.796875" customWidth="1"/>
    <col min="14" max="14" width="12.8984375" customWidth="1"/>
    <col min="15" max="15" width="18.5" customWidth="1"/>
    <col min="16" max="16" width="16.296875" customWidth="1"/>
  </cols>
  <sheetData>
    <row r="1" spans="1:16" ht="39.6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8</v>
      </c>
      <c r="J1" s="81" t="s">
        <v>9</v>
      </c>
      <c r="K1" s="81" t="s">
        <v>10</v>
      </c>
      <c r="L1" s="81" t="s">
        <v>11</v>
      </c>
      <c r="M1" s="82" t="s">
        <v>12</v>
      </c>
      <c r="N1" s="83" t="s">
        <v>13</v>
      </c>
      <c r="O1" s="83" t="s">
        <v>14</v>
      </c>
      <c r="P1" s="83" t="s">
        <v>15</v>
      </c>
    </row>
    <row r="2" spans="1:16">
      <c r="A2" s="51" t="s">
        <v>17</v>
      </c>
      <c r="B2" s="51"/>
      <c r="C2" s="51"/>
      <c r="D2" s="51"/>
      <c r="E2" s="51"/>
      <c r="F2" s="51"/>
      <c r="G2" s="51">
        <f>0.5*F3</f>
        <v>2362.5</v>
      </c>
      <c r="H2" s="51">
        <f>G2/(SQRT(3)*380)</f>
        <v>3.5894473972644501</v>
      </c>
      <c r="I2" s="51"/>
      <c r="J2" s="51"/>
      <c r="K2" s="51"/>
      <c r="L2" s="51"/>
      <c r="M2" s="84"/>
      <c r="N2" s="85"/>
      <c r="O2" s="85"/>
      <c r="P2" s="85"/>
    </row>
    <row r="3" spans="1:16" ht="41.4">
      <c r="A3" s="51">
        <v>23</v>
      </c>
      <c r="B3" s="51">
        <v>23</v>
      </c>
      <c r="C3" s="51">
        <v>35</v>
      </c>
      <c r="D3" s="51">
        <v>3</v>
      </c>
      <c r="E3" s="86">
        <v>45</v>
      </c>
      <c r="F3" s="51">
        <f>C3*D3*E3</f>
        <v>4725</v>
      </c>
      <c r="G3" s="51">
        <f>0.5*(F3+F4)</f>
        <v>4725</v>
      </c>
      <c r="H3" s="51">
        <f>G3/(SQRT(3)*380)</f>
        <v>7.1788947945289001</v>
      </c>
      <c r="I3" s="51">
        <f t="shared" ref="I3:I22" si="0">H3+I4</f>
        <v>95.24000427408339</v>
      </c>
      <c r="J3" s="51">
        <f>I3*C3</f>
        <v>3333.4001495929188</v>
      </c>
      <c r="K3" s="51">
        <f t="shared" ref="K3:K22" si="1">J3+K4</f>
        <v>28712.434138516375</v>
      </c>
      <c r="L3" s="51">
        <f>K3/(8*35)</f>
        <v>102.54440763755848</v>
      </c>
      <c r="M3" s="84">
        <f>IF(L3&gt;[2]Veriler!$D$1,IF(L3&gt;[2]Veriler!$D$2,IF(L3&gt;[2]Veriler!$D$3,IF(L3&gt;[2]Veriler!$D$4,IF(L3&gt;[2]Veriler!$D$5,IF(L3&gt;[2]Veriler!$D$6,IF(L3&gt;[2]Veriler!$D$7,IF(L3&gt;[2]Veriler!$D$8,"ders sorumlusuna başvur",[2]Veriler!$A$8),[2]Veriler!$A$7),[2]Veriler!$A$6),[2]Veriler!$A$5),[2]Veriler!$A$4),[2]Veriler!$A$3),[2]Veriler!$A$2),[2]Veriler!$A$1)</f>
        <v>8</v>
      </c>
      <c r="N3" s="85">
        <v>8</v>
      </c>
      <c r="O3" s="85" t="str">
        <f>VLOOKUP(N3,[2]Veriler!A$1:C$8,2,FALSE)</f>
        <v>3xOxlip+Rose/Aster</v>
      </c>
      <c r="P3" s="85" t="str">
        <f>IF(I4&lt;VLOOKUP(N4,[2]Veriler!A$1:E$8,5,FALSE)," UYGUNDUR","KESİT AKIMI TAŞIYAMIYOR")</f>
        <v xml:space="preserve"> UYGUNDUR</v>
      </c>
    </row>
    <row r="4" spans="1:16" ht="41.4">
      <c r="A4" s="51">
        <v>24</v>
      </c>
      <c r="B4" s="51">
        <v>24</v>
      </c>
      <c r="C4" s="51">
        <v>35</v>
      </c>
      <c r="D4" s="51">
        <v>3</v>
      </c>
      <c r="E4" s="86">
        <v>45</v>
      </c>
      <c r="F4" s="51">
        <f>C4*D4*E4</f>
        <v>4725</v>
      </c>
      <c r="G4" s="51">
        <f>0.5*(F4+F5)</f>
        <v>4725</v>
      </c>
      <c r="H4" s="51">
        <f>G4/(SQRT(3)*380)</f>
        <v>7.1788947945289001</v>
      </c>
      <c r="I4" s="51">
        <f t="shared" si="0"/>
        <v>88.061109479554489</v>
      </c>
      <c r="J4" s="51">
        <f t="shared" ref="J4:J23" si="2">I4*C4</f>
        <v>3082.1388317844071</v>
      </c>
      <c r="K4" s="51">
        <f>J4+K5</f>
        <v>25379.033988923456</v>
      </c>
      <c r="L4" s="51">
        <f t="shared" ref="L4:L24" si="3">K4/(8*35)</f>
        <v>90.639407103298055</v>
      </c>
      <c r="M4" s="84">
        <f>IF(L4&gt;[2]Veriler!$D$1,IF(L4&gt;[2]Veriler!$D$2,IF(L4&gt;[2]Veriler!$D$3,IF(L4&gt;[2]Veriler!$D$4,IF(L4&gt;[2]Veriler!$D$5,IF(L4&gt;[2]Veriler!$D$6,IF(L4&gt;[2]Veriler!$D$7,IF(L4&gt;[2]Veriler!$D$8,"ders sorumlusuna başvur",[2]Veriler!$A$8),[2]Veriler!$A$7),[2]Veriler!$A$6),[2]Veriler!$A$5),[2]Veriler!$A$4),[2]Veriler!$A$3),[2]Veriler!$A$2),[2]Veriler!$A$1)</f>
        <v>8</v>
      </c>
      <c r="N4" s="85">
        <v>8</v>
      </c>
      <c r="O4" s="85" t="str">
        <f>VLOOKUP(N4,[2]Veriler!A$1:C$8,2,FALSE)</f>
        <v>3xOxlip+Rose/Aster</v>
      </c>
      <c r="P4" s="85" t="str">
        <f>IF(I4&lt;VLOOKUP(N4,[2]Veriler!A$1:E$8,5,FALSE)," UYGUNDUR","KESİT AKIMI TAŞIYAMIYOR")</f>
        <v xml:space="preserve"> UYGUNDUR</v>
      </c>
    </row>
    <row r="5" spans="1:16" ht="41.4">
      <c r="A5" s="51">
        <v>25</v>
      </c>
      <c r="B5" s="51">
        <v>25</v>
      </c>
      <c r="C5" s="51">
        <v>35</v>
      </c>
      <c r="D5" s="51">
        <v>3</v>
      </c>
      <c r="E5" s="86">
        <v>45</v>
      </c>
      <c r="F5" s="51">
        <f>C5*D5*E5</f>
        <v>4725</v>
      </c>
      <c r="G5" s="51">
        <f>0.5*(F5+F6)</f>
        <v>4725</v>
      </c>
      <c r="H5" s="51">
        <f>G5/(SQRT(3)*380)</f>
        <v>7.1788947945289001</v>
      </c>
      <c r="I5" s="51">
        <f t="shared" si="0"/>
        <v>80.882214685025588</v>
      </c>
      <c r="J5" s="51">
        <f t="shared" si="2"/>
        <v>2830.8775139758955</v>
      </c>
      <c r="K5" s="51">
        <f t="shared" si="1"/>
        <v>22296.89515713905</v>
      </c>
      <c r="L5" s="51">
        <f t="shared" si="3"/>
        <v>79.631768418353744</v>
      </c>
      <c r="M5" s="84">
        <f>IF(L5&gt;[2]Veriler!$D$1,IF(L5&gt;[2]Veriler!$D$2,IF(L5&gt;[2]Veriler!$D$3,IF(L5&gt;[2]Veriler!$D$4,IF(L5&gt;[2]Veriler!$D$5,IF(L5&gt;[2]Veriler!$D$6,IF(L5&gt;[2]Veriler!$D$7,IF(L5&gt;[2]Veriler!$D$8,"ders sorumlusuna başvur",[2]Veriler!$A$8),[2]Veriler!$A$7),[2]Veriler!$A$6),[2]Veriler!$A$5),[2]Veriler!$A$4),[2]Veriler!$A$3),[2]Veriler!$A$2),[2]Veriler!$A$1)</f>
        <v>7</v>
      </c>
      <c r="N5" s="85">
        <v>8</v>
      </c>
      <c r="O5" s="85" t="str">
        <f>VLOOKUP(N5,[2]Veriler!A$1:C$8,2,FALSE)</f>
        <v>3xOxlip+Rose/Aster</v>
      </c>
      <c r="P5" s="85" t="str">
        <f>IF(I5&lt;VLOOKUP(N5,[2]Veriler!A$1:E$8,5,FALSE)," UYGUNDUR","KESİT AKIMI TAŞIYAMIYOR")</f>
        <v xml:space="preserve"> UYGUNDUR</v>
      </c>
    </row>
    <row r="6" spans="1:16" ht="41.4">
      <c r="A6" s="51">
        <v>26</v>
      </c>
      <c r="B6" s="51">
        <v>26</v>
      </c>
      <c r="C6" s="51">
        <v>35</v>
      </c>
      <c r="D6" s="51">
        <v>3</v>
      </c>
      <c r="E6" s="86">
        <v>45</v>
      </c>
      <c r="F6" s="51">
        <f>C6*D6*E6</f>
        <v>4725</v>
      </c>
      <c r="G6" s="51">
        <f>0.5*(F6+F7)</f>
        <v>5062.5</v>
      </c>
      <c r="H6" s="51">
        <f>G6/(SQRT(3)*380)</f>
        <v>7.6916729941381075</v>
      </c>
      <c r="I6" s="51">
        <f t="shared" si="0"/>
        <v>73.703319890496687</v>
      </c>
      <c r="J6" s="51">
        <f t="shared" si="2"/>
        <v>2579.6161961673843</v>
      </c>
      <c r="K6" s="51">
        <f>J6+K7</f>
        <v>19466.017643163155</v>
      </c>
      <c r="L6" s="51">
        <f t="shared" si="3"/>
        <v>69.52149158272556</v>
      </c>
      <c r="M6" s="84">
        <f>IF(L6&gt;[2]Veriler!$D$1,IF(L6&gt;[2]Veriler!$D$2,IF(L6&gt;[2]Veriler!$D$3,IF(L6&gt;[2]Veriler!$D$4,IF(L6&gt;[2]Veriler!$D$5,IF(L6&gt;[2]Veriler!$D$6,IF(L6&gt;[2]Veriler!$D$7,IF(L6&gt;[2]Veriler!$D$8,"ders sorumlusuna başvur",[2]Veriler!$A$8),[2]Veriler!$A$7),[2]Veriler!$A$6),[2]Veriler!$A$5),[2]Veriler!$A$4),[2]Veriler!$A$3),[2]Veriler!$A$2),[2]Veriler!$A$1)</f>
        <v>7</v>
      </c>
      <c r="N6" s="85">
        <v>8</v>
      </c>
      <c r="O6" s="85" t="str">
        <f>VLOOKUP(N6,[2]Veriler!A$1:C$8,2,FALSE)</f>
        <v>3xOxlip+Rose/Aster</v>
      </c>
      <c r="P6" s="85" t="str">
        <f>IF(I6&lt;VLOOKUP(N6,[2]Veriler!A$1:E$8,5,FALSE)," UYGUNDUR","KESİT AKIMI TAŞIYAMIYOR")</f>
        <v xml:space="preserve"> UYGUNDUR</v>
      </c>
    </row>
    <row r="7" spans="1:16" ht="41.4">
      <c r="A7" s="51">
        <v>27</v>
      </c>
      <c r="B7" s="51">
        <v>27</v>
      </c>
      <c r="C7" s="51">
        <v>40</v>
      </c>
      <c r="D7" s="51">
        <v>3</v>
      </c>
      <c r="E7" s="86">
        <v>45</v>
      </c>
      <c r="F7" s="51">
        <f>C7*D7*E7</f>
        <v>5400</v>
      </c>
      <c r="G7" s="51">
        <f>0.5*(F7+F8+F11)</f>
        <v>4050</v>
      </c>
      <c r="H7" s="51">
        <f>G7/(SQRT(3)*380)</f>
        <v>6.1533383953104854</v>
      </c>
      <c r="I7" s="51">
        <f t="shared" si="0"/>
        <v>66.011646896358585</v>
      </c>
      <c r="J7" s="51">
        <f t="shared" si="2"/>
        <v>2640.4658758543433</v>
      </c>
      <c r="K7" s="51">
        <f t="shared" si="1"/>
        <v>16886.401446995773</v>
      </c>
      <c r="L7" s="51">
        <f t="shared" si="3"/>
        <v>60.308576596413474</v>
      </c>
      <c r="M7" s="84">
        <f>IF(L7&gt;[2]Veriler!$D$1,IF(L7&gt;[2]Veriler!$D$2,IF(L7&gt;[2]Veriler!$D$3,IF(L7&gt;[2]Veriler!$D$4,IF(L7&gt;[2]Veriler!$D$5,IF(L7&gt;[2]Veriler!$D$6,IF(L7&gt;[2]Veriler!$D$7,IF(L7&gt;[2]Veriler!$D$8,"ders sorumlusuna başvur",[2]Veriler!$A$8),[2]Veriler!$A$7),[2]Veriler!$A$6),[2]Veriler!$A$5),[2]Veriler!$A$4),[2]Veriler!$A$3),[2]Veriler!$A$2),[2]Veriler!$A$1)</f>
        <v>6</v>
      </c>
      <c r="N7" s="85">
        <v>8</v>
      </c>
      <c r="O7" s="85" t="str">
        <f>VLOOKUP(N7,[2]Veriler!A$1:C$8,2,FALSE)</f>
        <v>3xOxlip+Rose/Aster</v>
      </c>
      <c r="P7" s="85" t="str">
        <f>IF(I7&lt;VLOOKUP(N7,[2]Veriler!A$1:E$8,5,FALSE)," UYGUNDUR","KESİT AKIMI TAŞIYAMIYOR")</f>
        <v xml:space="preserve"> UYGUNDUR</v>
      </c>
    </row>
    <row r="8" spans="1:16" ht="41.4">
      <c r="A8" s="51">
        <v>28</v>
      </c>
      <c r="B8" s="51">
        <v>28</v>
      </c>
      <c r="C8" s="51">
        <v>16</v>
      </c>
      <c r="D8" s="51">
        <v>2</v>
      </c>
      <c r="E8" s="86">
        <v>45</v>
      </c>
      <c r="F8" s="51">
        <f>C8*D8*E8</f>
        <v>1440</v>
      </c>
      <c r="G8" s="51">
        <f>0.5*(F8+F9)</f>
        <v>2520</v>
      </c>
      <c r="H8" s="51">
        <f>G8/(SQRT(3)*380)</f>
        <v>3.8287438904154132</v>
      </c>
      <c r="I8" s="51">
        <f t="shared" si="0"/>
        <v>59.8583085010481</v>
      </c>
      <c r="J8" s="51">
        <f t="shared" si="2"/>
        <v>957.7329360167696</v>
      </c>
      <c r="K8" s="51">
        <f t="shared" si="1"/>
        <v>14245.93557114143</v>
      </c>
      <c r="L8" s="51">
        <f t="shared" si="3"/>
        <v>50.878341325505104</v>
      </c>
      <c r="M8" s="84">
        <f>IF(L8&gt;[2]Veriler!$D$1,IF(L8&gt;[2]Veriler!$D$2,IF(L8&gt;[2]Veriler!$D$3,IF(L8&gt;[2]Veriler!$D$4,IF(L8&gt;[2]Veriler!$D$5,IF(L8&gt;[2]Veriler!$D$6,IF(L8&gt;[2]Veriler!$D$7,IF(L8&gt;[2]Veriler!$D$8,"ders sorumlusuna başvur",[2]Veriler!$A$8),[2]Veriler!$A$7),[2]Veriler!$A$6),[2]Veriler!$A$5),[2]Veriler!$A$4),[2]Veriler!$A$3),[2]Veriler!$A$2),[2]Veriler!$A$1)</f>
        <v>5</v>
      </c>
      <c r="N8" s="85">
        <v>1</v>
      </c>
      <c r="O8" s="85" t="str">
        <f>VLOOKUP(N8,[2]Veriler!A$1:C$8,2,FALSE)</f>
        <v>5 x Rose</v>
      </c>
      <c r="P8" s="85" t="str">
        <f>IF(I8&lt;VLOOKUP(N8,[2]Veriler!A$1:E$8,5,FALSE)," UYGUNDUR","KESİT AKIMI TAŞIYAMIYOR")</f>
        <v xml:space="preserve"> UYGUNDUR</v>
      </c>
    </row>
    <row r="9" spans="1:16" ht="41.4">
      <c r="A9" s="51">
        <v>29</v>
      </c>
      <c r="B9" s="51">
        <v>29</v>
      </c>
      <c r="C9" s="51">
        <v>40</v>
      </c>
      <c r="D9" s="51">
        <v>2</v>
      </c>
      <c r="E9" s="86">
        <v>45</v>
      </c>
      <c r="F9" s="51">
        <f>C9*D9*E9</f>
        <v>3600</v>
      </c>
      <c r="G9" s="51">
        <f>0.5*(F9+F10)</f>
        <v>3600</v>
      </c>
      <c r="H9" s="51">
        <f>G9/(SQRT(3)*380)</f>
        <v>5.4696341291648762</v>
      </c>
      <c r="I9" s="51">
        <f t="shared" si="0"/>
        <v>56.02956461063269</v>
      </c>
      <c r="J9" s="51">
        <f t="shared" si="2"/>
        <v>2241.1825844253076</v>
      </c>
      <c r="K9" s="51">
        <f t="shared" si="1"/>
        <v>13288.20263512466</v>
      </c>
      <c r="L9" s="51">
        <f t="shared" si="3"/>
        <v>47.457866554016647</v>
      </c>
      <c r="M9" s="84">
        <f>IF(L9&gt;[2]Veriler!$D$1,IF(L9&gt;[2]Veriler!$D$2,IF(L9&gt;[2]Veriler!$D$3,IF(L9&gt;[2]Veriler!$D$4,IF(L9&gt;[2]Veriler!$D$5,IF(L9&gt;[2]Veriler!$D$6,IF(L9&gt;[2]Veriler!$D$7,IF(L9&gt;[2]Veriler!$D$8,"ders sorumlusuna başvur",[2]Veriler!$A$8),[2]Veriler!$A$7),[2]Veriler!$A$6),[2]Veriler!$A$5),[2]Veriler!$A$4),[2]Veriler!$A$3),[2]Veriler!$A$2),[2]Veriler!$A$1)</f>
        <v>5</v>
      </c>
      <c r="N9" s="85">
        <v>2</v>
      </c>
      <c r="O9" s="85" t="str">
        <f>VLOOKUP(N9,[2]Veriler!A$1:C$8,2,FALSE)</f>
        <v>3 x Lily + Rose/Lily</v>
      </c>
      <c r="P9" s="85" t="str">
        <f>IF(I9&lt;VLOOKUP(N9,[2]Veriler!A$1:E$8,5,FALSE)," UYGUNDUR","KESİT AKIMI TAŞIYAMIYOR")</f>
        <v xml:space="preserve"> UYGUNDUR</v>
      </c>
    </row>
    <row r="10" spans="1:16" ht="41.4">
      <c r="A10" s="51">
        <v>30</v>
      </c>
      <c r="B10" s="51">
        <v>30</v>
      </c>
      <c r="C10" s="51">
        <v>40</v>
      </c>
      <c r="D10" s="51">
        <v>2</v>
      </c>
      <c r="E10" s="86">
        <v>45</v>
      </c>
      <c r="F10" s="51">
        <f>C10*D10*E10</f>
        <v>3600</v>
      </c>
      <c r="G10" s="51">
        <f>0.5*(F10)</f>
        <v>1800</v>
      </c>
      <c r="H10" s="51">
        <f>G10/(SQRT(3)*380)</f>
        <v>2.7348170645824381</v>
      </c>
      <c r="I10" s="51">
        <f t="shared" si="0"/>
        <v>50.559930481467816</v>
      </c>
      <c r="J10" s="51">
        <f t="shared" si="2"/>
        <v>2022.3972192587125</v>
      </c>
      <c r="K10" s="51">
        <f t="shared" si="1"/>
        <v>11047.020050699353</v>
      </c>
      <c r="L10" s="51">
        <f t="shared" si="3"/>
        <v>39.453643038211979</v>
      </c>
      <c r="M10" s="84">
        <f>IF(L10&gt;[2]Veriler!$D$1,IF(L10&gt;[2]Veriler!$D$2,IF(L10&gt;[2]Veriler!$D$3,IF(L10&gt;[2]Veriler!$D$4,IF(L10&gt;[2]Veriler!$D$5,IF(L10&gt;[2]Veriler!$D$6,IF(L10&gt;[2]Veriler!$D$7,IF(L10&gt;[2]Veriler!$D$8,"ders sorumlusuna başvur",[2]Veriler!$A$8),[2]Veriler!$A$7),[2]Veriler!$A$6),[2]Veriler!$A$5),[2]Veriler!$A$4),[2]Veriler!$A$3),[2]Veriler!$A$2),[2]Veriler!$A$1)</f>
        <v>4</v>
      </c>
      <c r="N10" s="85">
        <v>1</v>
      </c>
      <c r="O10" s="85" t="str">
        <f>VLOOKUP(N10,[2]Veriler!A$1:C$8,2,FALSE)</f>
        <v>5 x Rose</v>
      </c>
      <c r="P10" s="85" t="str">
        <f>IF(I10&lt;VLOOKUP(N10,[2]Veriler!A$1:E$8,5,FALSE)," UYGUNDUR","KESİT AKIMI TAŞIYAMIYOR")</f>
        <v xml:space="preserve"> UYGUNDUR</v>
      </c>
    </row>
    <row r="11" spans="1:16" ht="41.4">
      <c r="A11" s="51">
        <v>31</v>
      </c>
      <c r="B11" s="51">
        <v>31</v>
      </c>
      <c r="C11" s="51">
        <v>14</v>
      </c>
      <c r="D11" s="51">
        <v>2</v>
      </c>
      <c r="E11" s="86">
        <v>45</v>
      </c>
      <c r="F11" s="51">
        <f>C11*D11*E11</f>
        <v>1260</v>
      </c>
      <c r="G11" s="51">
        <f>0.5*(F11+F12+F14)</f>
        <v>4455</v>
      </c>
      <c r="H11" s="51">
        <f>G11/(SQRT(3)*380)</f>
        <v>6.7686722348415342</v>
      </c>
      <c r="I11" s="51">
        <f t="shared" si="0"/>
        <v>47.82511341688538</v>
      </c>
      <c r="J11" s="51">
        <f t="shared" si="2"/>
        <v>669.55158783639536</v>
      </c>
      <c r="K11" s="51">
        <f t="shared" si="1"/>
        <v>9024.6228314406417</v>
      </c>
      <c r="L11" s="51">
        <f t="shared" si="3"/>
        <v>32.230795826573718</v>
      </c>
      <c r="M11" s="84">
        <f>IF(L11&gt;[2]Veriler!$D$1,IF(L11&gt;[2]Veriler!$D$2,IF(L11&gt;[2]Veriler!$D$3,IF(L11&gt;[2]Veriler!$D$4,IF(L11&gt;[2]Veriler!$D$5,IF(L11&gt;[2]Veriler!$D$6,IF(L11&gt;[2]Veriler!$D$7,IF(L11&gt;[2]Veriler!$D$8,"ders sorumlusuna başvur",[2]Veriler!$A$8),[2]Veriler!$A$7),[2]Veriler!$A$6),[2]Veriler!$A$5),[2]Veriler!$A$4),[2]Veriler!$A$3),[2]Veriler!$A$2),[2]Veriler!$A$1)</f>
        <v>3</v>
      </c>
      <c r="N11" s="85">
        <v>2</v>
      </c>
      <c r="O11" s="85" t="str">
        <f>VLOOKUP(N11,[2]Veriler!A$1:C$8,2,FALSE)</f>
        <v>3 x Lily + Rose/Lily</v>
      </c>
      <c r="P11" s="85" t="str">
        <f>IF(I11&lt;VLOOKUP(N11,[2]Veriler!A$1:E$8,5,FALSE)," UYGUNDUR","KESİT AKIMI TAŞIYAMIYOR")</f>
        <v xml:space="preserve"> UYGUNDUR</v>
      </c>
    </row>
    <row r="12" spans="1:16" ht="41.4">
      <c r="A12" s="51">
        <v>32</v>
      </c>
      <c r="B12" s="51">
        <v>32</v>
      </c>
      <c r="C12" s="51">
        <v>40</v>
      </c>
      <c r="D12" s="51">
        <v>2</v>
      </c>
      <c r="E12" s="86">
        <v>45</v>
      </c>
      <c r="F12" s="51">
        <f>C12*D12*E12</f>
        <v>3600</v>
      </c>
      <c r="G12" s="51">
        <f>0.5*(F12+F13)</f>
        <v>3825</v>
      </c>
      <c r="H12" s="51">
        <f>G12/(SQRT(3)*380)</f>
        <v>5.8114862622376808</v>
      </c>
      <c r="I12" s="51">
        <f t="shared" si="0"/>
        <v>41.056441182043848</v>
      </c>
      <c r="J12" s="51">
        <f t="shared" si="2"/>
        <v>1642.2576472817539</v>
      </c>
      <c r="K12" s="51">
        <f t="shared" si="1"/>
        <v>8355.0712436042468</v>
      </c>
      <c r="L12" s="51">
        <f t="shared" si="3"/>
        <v>29.839540155729452</v>
      </c>
      <c r="M12" s="84">
        <f>IF(L12&gt;[2]Veriler!$D$1,IF(L12&gt;[2]Veriler!$D$2,IF(L12&gt;[2]Veriler!$D$3,IF(L12&gt;[2]Veriler!$D$4,IF(L12&gt;[2]Veriler!$D$5,IF(L12&gt;[2]Veriler!$D$6,IF(L12&gt;[2]Veriler!$D$7,IF(L12&gt;[2]Veriler!$D$8,"ders sorumlusuna başvur",[2]Veriler!$A$8),[2]Veriler!$A$7),[2]Veriler!$A$6),[2]Veriler!$A$5),[2]Veriler!$A$4),[2]Veriler!$A$3),[2]Veriler!$A$2),[2]Veriler!$A$1)</f>
        <v>3</v>
      </c>
      <c r="N12" s="85">
        <v>1</v>
      </c>
      <c r="O12" s="85" t="str">
        <f>VLOOKUP(N12,[2]Veriler!A$1:C$8,2,FALSE)</f>
        <v>5 x Rose</v>
      </c>
      <c r="P12" s="85" t="str">
        <f>IF(I12&lt;VLOOKUP(N12,[2]Veriler!A$1:E$8,5,FALSE)," UYGUNDUR","KESİT AKIMI TAŞIYAMIYOR")</f>
        <v xml:space="preserve"> UYGUNDUR</v>
      </c>
    </row>
    <row r="13" spans="1:16" ht="41.4">
      <c r="A13" s="51">
        <v>33</v>
      </c>
      <c r="B13" s="51">
        <v>33</v>
      </c>
      <c r="C13" s="51">
        <v>40</v>
      </c>
      <c r="D13" s="51">
        <v>2</v>
      </c>
      <c r="E13" s="86">
        <v>45</v>
      </c>
      <c r="F13" s="51">
        <f>C15*D14*E13</f>
        <v>4050</v>
      </c>
      <c r="G13" s="51">
        <f>0.5*(F13)</f>
        <v>2025</v>
      </c>
      <c r="H13" s="51">
        <f>G13/(SQRT(3)*380)</f>
        <v>3.0766691976552427</v>
      </c>
      <c r="I13" s="51">
        <f t="shared" si="0"/>
        <v>35.244954919806169</v>
      </c>
      <c r="J13" s="51">
        <f t="shared" si="2"/>
        <v>1409.7981967922467</v>
      </c>
      <c r="K13" s="51">
        <f t="shared" si="1"/>
        <v>6712.8135963224922</v>
      </c>
      <c r="L13" s="51">
        <f t="shared" si="3"/>
        <v>23.974334272580329</v>
      </c>
      <c r="M13" s="84">
        <f>IF(L13&gt;[2]Veriler!$D$1,IF(L13&gt;[2]Veriler!$D$2,IF(L13&gt;[2]Veriler!$D$3,IF(L13&gt;[2]Veriler!$D$4,IF(L13&gt;[2]Veriler!$D$5,IF(L13&gt;[2]Veriler!$D$6,IF(L13&gt;[2]Veriler!$D$7,IF(L13&gt;[2]Veriler!$D$8,"ders sorumlusuna başvur",[2]Veriler!$A$8),[2]Veriler!$A$7),[2]Veriler!$A$6),[2]Veriler!$A$5),[2]Veriler!$A$4),[2]Veriler!$A$3),[2]Veriler!$A$2),[2]Veriler!$A$1)</f>
        <v>2</v>
      </c>
      <c r="N13" s="85">
        <v>1</v>
      </c>
      <c r="O13" s="85" t="str">
        <f>VLOOKUP(N13,[2]Veriler!A$1:C$8,2,FALSE)</f>
        <v>5 x Rose</v>
      </c>
      <c r="P13" s="85" t="str">
        <f>IF(I13&lt;VLOOKUP(N13,[2]Veriler!A$1:E$8,5,FALSE)," UYGUNDUR","KESİT AKIMI TAŞIYAMIYOR")</f>
        <v xml:space="preserve"> UYGUNDUR</v>
      </c>
    </row>
    <row r="14" spans="1:16" ht="41.4">
      <c r="A14" s="51">
        <v>34</v>
      </c>
      <c r="B14" s="51">
        <v>34</v>
      </c>
      <c r="C14" s="51">
        <v>40</v>
      </c>
      <c r="D14" s="51">
        <v>2</v>
      </c>
      <c r="E14" s="86">
        <v>45</v>
      </c>
      <c r="F14" s="51">
        <f>C15*D15*E15</f>
        <v>4050</v>
      </c>
      <c r="G14" s="51">
        <f>0.5*(F14+F15)</f>
        <v>4050</v>
      </c>
      <c r="H14" s="51">
        <f>G14/(SQRT(3)*380)</f>
        <v>6.1533383953104854</v>
      </c>
      <c r="I14" s="51">
        <f t="shared" si="0"/>
        <v>32.168285722150927</v>
      </c>
      <c r="J14" s="51">
        <f t="shared" si="2"/>
        <v>1286.7314288860371</v>
      </c>
      <c r="K14" s="51">
        <f t="shared" si="1"/>
        <v>5303.0153995302453</v>
      </c>
      <c r="L14" s="51">
        <f t="shared" si="3"/>
        <v>18.939340712608018</v>
      </c>
      <c r="M14" s="84">
        <f>IF(L14&gt;[2]Veriler!$D$1,IF(L14&gt;[2]Veriler!$D$2,IF(L14&gt;[2]Veriler!$D$3,IF(L14&gt;[2]Veriler!$D$4,IF(L14&gt;[2]Veriler!$D$5,IF(L14&gt;[2]Veriler!$D$6,IF(L14&gt;[2]Veriler!$D$7,IF(L14&gt;[2]Veriler!$D$8,"ders sorumlusuna başvur",[2]Veriler!$A$8),[2]Veriler!$A$7),[2]Veriler!$A$6),[2]Veriler!$A$5),[2]Veriler!$A$4),[2]Veriler!$A$3),[2]Veriler!$A$2),[2]Veriler!$A$1)</f>
        <v>1</v>
      </c>
      <c r="N14" s="85">
        <v>1</v>
      </c>
      <c r="O14" s="85" t="str">
        <f>VLOOKUP(N14,[2]Veriler!A$1:C$8,2,FALSE)</f>
        <v>5 x Rose</v>
      </c>
      <c r="P14" s="85" t="str">
        <f>IF(I14&lt;VLOOKUP(N14,[2]Veriler!A$1:E$8,5,FALSE)," UYGUNDUR","KESİT AKIMI TAŞIYAMIYOR")</f>
        <v xml:space="preserve"> UYGUNDUR</v>
      </c>
    </row>
    <row r="15" spans="1:16" ht="41.4">
      <c r="A15" s="51">
        <v>35</v>
      </c>
      <c r="B15" s="51">
        <v>35</v>
      </c>
      <c r="C15" s="51">
        <v>45</v>
      </c>
      <c r="D15" s="51">
        <v>2</v>
      </c>
      <c r="E15" s="86">
        <v>45</v>
      </c>
      <c r="F15" s="51">
        <f>C15*D15*E15</f>
        <v>4050</v>
      </c>
      <c r="G15" s="51">
        <f>0.5*(F15+F16+F18)</f>
        <v>3825</v>
      </c>
      <c r="H15" s="51">
        <f>G15/(SQRT(3)*380)</f>
        <v>5.8114862622376808</v>
      </c>
      <c r="I15" s="51">
        <f t="shared" si="0"/>
        <v>26.014947326840442</v>
      </c>
      <c r="J15" s="51">
        <f t="shared" si="2"/>
        <v>1170.6726297078199</v>
      </c>
      <c r="K15" s="51">
        <f t="shared" si="1"/>
        <v>4016.2839706442082</v>
      </c>
      <c r="L15" s="51">
        <f t="shared" si="3"/>
        <v>14.343871323729315</v>
      </c>
      <c r="M15" s="84">
        <f>IF(L15&gt;[2]Veriler!$D$1,IF(L15&gt;[2]Veriler!$D$2,IF(L15&gt;[2]Veriler!$D$3,IF(L15&gt;[2]Veriler!$D$4,IF(L15&gt;[2]Veriler!$D$5,IF(L15&gt;[2]Veriler!$D$6,IF(L15&gt;[2]Veriler!$D$7,IF(L15&gt;[2]Veriler!$D$8,"ders sorumlusuna başvur",[2]Veriler!$A$8),[2]Veriler!$A$7),[2]Veriler!$A$6),[2]Veriler!$A$5),[2]Veriler!$A$4),[2]Veriler!$A$3),[2]Veriler!$A$2),[2]Veriler!$A$1)</f>
        <v>1</v>
      </c>
      <c r="N15" s="85">
        <v>1</v>
      </c>
      <c r="O15" s="85" t="str">
        <f>VLOOKUP(N15,[2]Veriler!A$1:C$8,2,FALSE)</f>
        <v>5 x Rose</v>
      </c>
      <c r="P15" s="85" t="str">
        <f>IF(I15&lt;VLOOKUP(N15,[2]Veriler!A$1:E$8,5,FALSE)," UYGUNDUR","KESİT AKIMI TAŞIYAMIYOR")</f>
        <v xml:space="preserve"> UYGUNDUR</v>
      </c>
    </row>
    <row r="16" spans="1:16" ht="41.4">
      <c r="A16" s="51">
        <v>36</v>
      </c>
      <c r="B16" s="51">
        <v>36</v>
      </c>
      <c r="C16" s="51">
        <v>20</v>
      </c>
      <c r="D16" s="51">
        <v>2</v>
      </c>
      <c r="E16" s="86">
        <v>45</v>
      </c>
      <c r="F16" s="51">
        <f>C16*D16*E16</f>
        <v>1800</v>
      </c>
      <c r="G16" s="51">
        <f>0.5*(F16+F17)</f>
        <v>2700</v>
      </c>
      <c r="H16" s="51">
        <f>G16/(SQRT(3)*380)</f>
        <v>4.102225596873657</v>
      </c>
      <c r="I16" s="51">
        <f t="shared" si="0"/>
        <v>20.203461064602763</v>
      </c>
      <c r="J16" s="51">
        <f t="shared" si="2"/>
        <v>404.06922129205526</v>
      </c>
      <c r="K16" s="51">
        <f t="shared" si="1"/>
        <v>2845.6113409363884</v>
      </c>
      <c r="L16" s="51">
        <f t="shared" si="3"/>
        <v>10.162897646201387</v>
      </c>
      <c r="M16" s="84">
        <f>IF(L16&gt;[2]Veriler!$D$1,IF(L16&gt;[2]Veriler!$D$2,IF(L16&gt;[2]Veriler!$D$3,IF(L16&gt;[2]Veriler!$D$4,IF(L16&gt;[2]Veriler!$D$5,IF(L16&gt;[2]Veriler!$D$6,IF(L16&gt;[2]Veriler!$D$7,IF(L16&gt;[2]Veriler!$D$8,"ders sorumlusuna başvur",[2]Veriler!$A$8),[2]Veriler!$A$7),[2]Veriler!$A$6),[2]Veriler!$A$5),[2]Veriler!$A$4),[2]Veriler!$A$3),[2]Veriler!$A$2),[2]Veriler!$A$1)</f>
        <v>1</v>
      </c>
      <c r="N16" s="85">
        <v>1</v>
      </c>
      <c r="O16" s="85" t="str">
        <f>VLOOKUP(N16,[2]Veriler!A$1:C$8,2,FALSE)</f>
        <v>5 x Rose</v>
      </c>
      <c r="P16" s="85" t="str">
        <f>IF(I16&lt;VLOOKUP(N16,[2]Veriler!A$1:E$8,5,FALSE)," UYGUNDUR","KESİT AKIMI TAŞIYAMIYOR")</f>
        <v xml:space="preserve"> UYGUNDUR</v>
      </c>
    </row>
    <row r="17" spans="1:16" ht="41.4">
      <c r="A17" s="51">
        <v>37</v>
      </c>
      <c r="B17" s="51">
        <v>37</v>
      </c>
      <c r="C17" s="51">
        <v>40</v>
      </c>
      <c r="D17" s="51">
        <v>2</v>
      </c>
      <c r="E17" s="86">
        <v>45</v>
      </c>
      <c r="F17" s="51">
        <f>C17*D17*E17</f>
        <v>3600</v>
      </c>
      <c r="G17" s="51">
        <f>0.5*(F17)</f>
        <v>1800</v>
      </c>
      <c r="H17" s="51">
        <f>G17/(SQRT(3)*380)</f>
        <v>2.7348170645824381</v>
      </c>
      <c r="I17" s="51">
        <f t="shared" si="0"/>
        <v>16.101235467729104</v>
      </c>
      <c r="J17" s="51">
        <f t="shared" si="2"/>
        <v>644.04941870916423</v>
      </c>
      <c r="K17" s="51">
        <f t="shared" si="1"/>
        <v>2441.5421196443331</v>
      </c>
      <c r="L17" s="51">
        <f t="shared" si="3"/>
        <v>8.7197932844440462</v>
      </c>
      <c r="M17" s="84">
        <f>IF(L17&gt;[2]Veriler!$D$1,IF(L17&gt;[2]Veriler!$D$2,IF(L17&gt;[2]Veriler!$D$3,IF(L17&gt;[2]Veriler!$D$4,IF(L17&gt;[2]Veriler!$D$5,IF(L17&gt;[2]Veriler!$D$6,IF(L17&gt;[2]Veriler!$D$7,IF(L17&gt;[2]Veriler!$D$8,"ders sorumlusuna başvur",[2]Veriler!$A$8),[2]Veriler!$A$7),[2]Veriler!$A$6),[2]Veriler!$A$5),[2]Veriler!$A$4),[2]Veriler!$A$3),[2]Veriler!$A$2),[2]Veriler!$A$1)</f>
        <v>1</v>
      </c>
      <c r="N17" s="85">
        <v>1</v>
      </c>
      <c r="O17" s="85" t="str">
        <f>VLOOKUP(N17,[2]Veriler!A$1:C$8,2,FALSE)</f>
        <v>5 x Rose</v>
      </c>
      <c r="P17" s="85" t="str">
        <f>IF(I17&lt;VLOOKUP(N17,[2]Veriler!A$1:E$8,5,FALSE)," UYGUNDUR","KESİT AKIMI TAŞIYAMIYOR")</f>
        <v xml:space="preserve"> UYGUNDUR</v>
      </c>
    </row>
    <row r="18" spans="1:16" ht="41.4">
      <c r="A18" s="51">
        <v>38</v>
      </c>
      <c r="B18" s="51">
        <v>38</v>
      </c>
      <c r="C18" s="51">
        <v>40</v>
      </c>
      <c r="D18" s="51">
        <v>1</v>
      </c>
      <c r="E18" s="86">
        <v>45</v>
      </c>
      <c r="F18" s="51">
        <f>C18*D18*E18</f>
        <v>1800</v>
      </c>
      <c r="G18" s="51">
        <f>0.5*(F18+F19+F21)</f>
        <v>2047.5</v>
      </c>
      <c r="H18" s="51">
        <f>G18/(SQRT(3)*380)</f>
        <v>3.1108544109625234</v>
      </c>
      <c r="I18" s="51">
        <f t="shared" si="0"/>
        <v>13.366418403146668</v>
      </c>
      <c r="J18" s="51">
        <f t="shared" si="2"/>
        <v>534.6567361258667</v>
      </c>
      <c r="K18" s="51">
        <f t="shared" si="1"/>
        <v>1797.4927009351686</v>
      </c>
      <c r="L18" s="51">
        <f t="shared" si="3"/>
        <v>6.4196167890541735</v>
      </c>
      <c r="M18" s="84">
        <f>IF(L18&gt;[2]Veriler!$D$1,IF(L18&gt;[2]Veriler!$D$2,IF(L18&gt;[2]Veriler!$D$3,IF(L18&gt;[2]Veriler!$D$4,IF(L18&gt;[2]Veriler!$D$5,IF(L18&gt;[2]Veriler!$D$6,IF(L18&gt;[2]Veriler!$D$7,IF(L18&gt;[2]Veriler!$D$8,"ders sorumlusuna başvur",[2]Veriler!$A$8),[2]Veriler!$A$7),[2]Veriler!$A$6),[2]Veriler!$A$5),[2]Veriler!$A$4),[2]Veriler!$A$3),[2]Veriler!$A$2),[2]Veriler!$A$1)</f>
        <v>1</v>
      </c>
      <c r="N18" s="85">
        <v>1</v>
      </c>
      <c r="O18" s="85" t="str">
        <f>VLOOKUP(N18,[2]Veriler!A$1:C$8,2,FALSE)</f>
        <v>5 x Rose</v>
      </c>
      <c r="P18" s="85" t="str">
        <f>IF(I18&lt;VLOOKUP(N18,[2]Veriler!A$1:E$8,5,FALSE)," UYGUNDUR","KESİT AKIMI TAŞIYAMIYOR")</f>
        <v xml:space="preserve"> UYGUNDUR</v>
      </c>
    </row>
    <row r="19" spans="1:16" ht="41.4">
      <c r="A19" s="51">
        <v>39</v>
      </c>
      <c r="B19" s="51">
        <v>39</v>
      </c>
      <c r="C19" s="51">
        <v>11</v>
      </c>
      <c r="D19" s="51">
        <v>1</v>
      </c>
      <c r="E19" s="86">
        <v>45</v>
      </c>
      <c r="F19" s="51">
        <f>C19*D19*E19</f>
        <v>495</v>
      </c>
      <c r="G19" s="51">
        <f>0.5*(F19+F19)</f>
        <v>495</v>
      </c>
      <c r="H19" s="51">
        <f>G19/(SQRT(3)*380)</f>
        <v>0.75207469276017047</v>
      </c>
      <c r="I19" s="51">
        <f t="shared" si="0"/>
        <v>10.255563992184143</v>
      </c>
      <c r="J19" s="51">
        <f t="shared" si="2"/>
        <v>112.81120391402558</v>
      </c>
      <c r="K19" s="51">
        <f t="shared" si="1"/>
        <v>1262.8359648093019</v>
      </c>
      <c r="L19" s="51">
        <f t="shared" si="3"/>
        <v>4.5101284457475073</v>
      </c>
      <c r="M19" s="84">
        <f>IF(L19&gt;[2]Veriler!$D$1,IF(L19&gt;[2]Veriler!$D$2,IF(L19&gt;[2]Veriler!$D$3,IF(L19&gt;[2]Veriler!$D$4,IF(L19&gt;[2]Veriler!$D$5,IF(L19&gt;[2]Veriler!$D$6,IF(L19&gt;[2]Veriler!$D$7,IF(L19&gt;[2]Veriler!$D$8,"ders sorumlusuna başvur",[2]Veriler!$A$8),[2]Veriler!$A$7),[2]Veriler!$A$6),[2]Veriler!$A$5),[2]Veriler!$A$4),[2]Veriler!$A$3),[2]Veriler!$A$2),[2]Veriler!$A$1)</f>
        <v>1</v>
      </c>
      <c r="N19" s="85">
        <v>1</v>
      </c>
      <c r="O19" s="85" t="str">
        <f>VLOOKUP(N16,[2]Veriler!A$1:C$8,2,FALSE)</f>
        <v>5 x Rose</v>
      </c>
      <c r="P19" s="85" t="str">
        <f>IF(I19&lt;VLOOKUP(N19,[2]Veriler!A$1:E$8,5,FALSE)," UYGUNDUR","KESİT AKIMI TAŞIYAMIYOR")</f>
        <v xml:space="preserve"> UYGUNDUR</v>
      </c>
    </row>
    <row r="20" spans="1:16" ht="41.4">
      <c r="A20" s="51">
        <v>40</v>
      </c>
      <c r="B20" s="51">
        <v>40</v>
      </c>
      <c r="C20" s="51">
        <v>40</v>
      </c>
      <c r="D20" s="51">
        <v>1</v>
      </c>
      <c r="E20" s="86">
        <v>45</v>
      </c>
      <c r="F20" s="51">
        <f>C20*D20*E20</f>
        <v>1800</v>
      </c>
      <c r="G20" s="51">
        <f>0.5*(F20)</f>
        <v>900</v>
      </c>
      <c r="H20" s="51">
        <f>G20/(SQRT(3)*380)</f>
        <v>1.3674085322912191</v>
      </c>
      <c r="I20" s="51">
        <f t="shared" si="0"/>
        <v>9.5034892994239719</v>
      </c>
      <c r="J20" s="51">
        <f t="shared" si="2"/>
        <v>380.1395719769589</v>
      </c>
      <c r="K20" s="51">
        <f t="shared" si="1"/>
        <v>1150.0247608952764</v>
      </c>
      <c r="L20" s="51">
        <f t="shared" si="3"/>
        <v>4.1072312889117013</v>
      </c>
      <c r="M20" s="84">
        <f>IF(L20&gt;[2]Veriler!$D$1,IF(L20&gt;[2]Veriler!$D$2,IF(L20&gt;[2]Veriler!$D$3,IF(L20&gt;[2]Veriler!$D$4,IF(L20&gt;[2]Veriler!$D$5,IF(L20&gt;[2]Veriler!$D$6,IF(L20&gt;[2]Veriler!$D$7,IF(L20&gt;[2]Veriler!$D$8,"ders sorumlusuna başvur",[2]Veriler!$A$8),[2]Veriler!$A$7),[2]Veriler!$A$6),[2]Veriler!$A$5),[2]Veriler!$A$4),[2]Veriler!$A$3),[2]Veriler!$A$2),[2]Veriler!$A$1)</f>
        <v>1</v>
      </c>
      <c r="N20" s="85">
        <v>1</v>
      </c>
      <c r="O20" s="85" t="str">
        <f>VLOOKUP(N17,[2]Veriler!A$1:C$8,2,FALSE)</f>
        <v>5 x Rose</v>
      </c>
      <c r="P20" s="85" t="str">
        <f>IF(I20&lt;VLOOKUP(N20,[2]Veriler!A$1:E$8,5,FALSE)," UYGUNDUR","KESİT AKIMI TAŞIYAMIYOR")</f>
        <v xml:space="preserve"> UYGUNDUR</v>
      </c>
    </row>
    <row r="21" spans="1:16" ht="41.4">
      <c r="A21" s="51">
        <v>41</v>
      </c>
      <c r="B21" s="51">
        <v>41</v>
      </c>
      <c r="C21" s="51">
        <v>40</v>
      </c>
      <c r="D21" s="51">
        <v>1</v>
      </c>
      <c r="E21" s="86">
        <v>45</v>
      </c>
      <c r="F21" s="51">
        <f>C21*D21*E21</f>
        <v>1800</v>
      </c>
      <c r="G21" s="51">
        <f>0.5*(F21+F22)</f>
        <v>1327.5</v>
      </c>
      <c r="H21" s="51">
        <f>G21/(SQRT(3)*380)</f>
        <v>2.0169275851295483</v>
      </c>
      <c r="I21" s="51">
        <f t="shared" si="0"/>
        <v>8.1360807671327535</v>
      </c>
      <c r="J21" s="51">
        <f t="shared" si="2"/>
        <v>325.44323068531014</v>
      </c>
      <c r="K21" s="51">
        <f t="shared" si="1"/>
        <v>769.88518891831734</v>
      </c>
      <c r="L21" s="51">
        <f t="shared" si="3"/>
        <v>2.7495899604225618</v>
      </c>
      <c r="M21" s="84">
        <f>IF(L21&gt;[2]Veriler!$D$1,IF(L21&gt;[2]Veriler!$D$2,IF(L21&gt;[2]Veriler!$D$3,IF(L21&gt;[2]Veriler!$D$4,IF(L21&gt;[2]Veriler!$D$5,IF(L21&gt;[2]Veriler!$D$6,IF(L21&gt;[2]Veriler!$D$7,IF(L21&gt;[2]Veriler!$D$8,"ders sorumlusuna başvur",[2]Veriler!$A$8),[2]Veriler!$A$7),[2]Veriler!$A$6),[2]Veriler!$A$5),[2]Veriler!$A$4),[2]Veriler!$A$3),[2]Veriler!$A$2),[2]Veriler!$A$1)</f>
        <v>1</v>
      </c>
      <c r="N21" s="85">
        <v>1</v>
      </c>
      <c r="O21" s="85" t="str">
        <f>VLOOKUP(N18,[2]Veriler!A$1:C$8,2,FALSE)</f>
        <v>5 x Rose</v>
      </c>
      <c r="P21" s="85" t="str">
        <f>IF(I21&lt;VLOOKUP(N21,[2]Veriler!A$1:E$8,5,FALSE)," UYGUNDUR","KESİT AKIMI TAŞIYAMIYOR")</f>
        <v xml:space="preserve"> UYGUNDUR</v>
      </c>
    </row>
    <row r="22" spans="1:16" ht="41.4">
      <c r="A22" s="51">
        <v>42</v>
      </c>
      <c r="B22" s="51">
        <v>42</v>
      </c>
      <c r="C22" s="51">
        <v>19</v>
      </c>
      <c r="D22" s="51">
        <v>1</v>
      </c>
      <c r="E22" s="86">
        <v>45</v>
      </c>
      <c r="F22" s="51">
        <f>C22*D22*E22</f>
        <v>855</v>
      </c>
      <c r="G22" s="51">
        <f>0.5*(F22+F23)</f>
        <v>1327.5</v>
      </c>
      <c r="H22" s="51">
        <f>G22/(SQRT(3)*380)</f>
        <v>2.0169275851295483</v>
      </c>
      <c r="I22" s="51">
        <f t="shared" si="0"/>
        <v>6.1191531820032052</v>
      </c>
      <c r="J22" s="51">
        <f t="shared" si="2"/>
        <v>116.26391045806091</v>
      </c>
      <c r="K22" s="51">
        <f t="shared" si="1"/>
        <v>444.4419582330072</v>
      </c>
      <c r="L22" s="51">
        <f t="shared" si="3"/>
        <v>1.5872927079750256</v>
      </c>
      <c r="M22" s="84">
        <f>IF(L22&gt;[2]Veriler!$D$1,IF(L22&gt;[2]Veriler!$D$2,IF(L22&gt;[2]Veriler!$D$3,IF(L22&gt;[2]Veriler!$D$4,IF(L22&gt;[2]Veriler!$D$5,IF(L22&gt;[2]Veriler!$D$6,IF(L22&gt;[2]Veriler!$D$7,IF(L22&gt;[2]Veriler!$D$8,"ders sorumlusuna başvur",[2]Veriler!$A$8),[2]Veriler!$A$7),[2]Veriler!$A$6),[2]Veriler!$A$5),[2]Veriler!$A$4),[2]Veriler!$A$3),[2]Veriler!$A$2),[2]Veriler!$A$1)</f>
        <v>1</v>
      </c>
      <c r="N22" s="85">
        <v>1</v>
      </c>
      <c r="O22" s="85" t="str">
        <f>VLOOKUP(N19,[2]Veriler!A$1:C$8,2,FALSE)</f>
        <v>5 x Rose</v>
      </c>
      <c r="P22" s="85" t="str">
        <f>IF(I22&lt;VLOOKUP(N22,[2]Veriler!A$1:E$8,5,FALSE)," UYGUNDUR","KESİT AKIMI TAŞIYAMIYOR")</f>
        <v xml:space="preserve"> UYGUNDUR</v>
      </c>
    </row>
    <row r="23" spans="1:16" ht="41.4">
      <c r="A23" s="51">
        <v>43</v>
      </c>
      <c r="B23" s="51">
        <v>43</v>
      </c>
      <c r="C23" s="51">
        <v>40</v>
      </c>
      <c r="D23" s="51">
        <v>1</v>
      </c>
      <c r="E23" s="86">
        <v>45</v>
      </c>
      <c r="F23" s="51">
        <f>C23*D23*E23</f>
        <v>1800</v>
      </c>
      <c r="G23" s="51">
        <f>0.5*(F23+F24)</f>
        <v>1800</v>
      </c>
      <c r="H23" s="51">
        <f>G23/(SQRT(3)*380)</f>
        <v>2.7348170645824381</v>
      </c>
      <c r="I23" s="51">
        <f>H23+I24</f>
        <v>4.102225596873657</v>
      </c>
      <c r="J23" s="51">
        <f t="shared" si="2"/>
        <v>164.08902387494629</v>
      </c>
      <c r="K23" s="51">
        <f>J23+K24</f>
        <v>328.17804777494632</v>
      </c>
      <c r="L23" s="51">
        <f t="shared" si="3"/>
        <v>1.1720644563390941</v>
      </c>
      <c r="M23" s="84">
        <f>IF(L23&gt;[2]Veriler!$D$1,IF(L23&gt;[2]Veriler!$D$2,IF(L23&gt;[2]Veriler!$D$3,IF(L23&gt;[2]Veriler!$D$4,IF(L23&gt;[2]Veriler!$D$5,IF(L23&gt;[2]Veriler!$D$6,IF(L23&gt;[2]Veriler!$D$7,IF(L23&gt;[2]Veriler!$D$8,"ders sorumlusuna başvur",[2]Veriler!$A$8),[2]Veriler!$A$7),[2]Veriler!$A$6),[2]Veriler!$A$5),[2]Veriler!$A$4),[2]Veriler!$A$3),[2]Veriler!$A$2),[2]Veriler!$A$1)</f>
        <v>1</v>
      </c>
      <c r="N23" s="85">
        <v>1</v>
      </c>
      <c r="O23" s="85" t="str">
        <f>VLOOKUP(N20,[2]Veriler!A$1:C$8,2,FALSE)</f>
        <v>5 x Rose</v>
      </c>
      <c r="P23" s="85" t="str">
        <f>IF(I23&lt;VLOOKUP(N23,[2]Veriler!A$1:E$8,5,FALSE)," UYGUNDUR","KESİT AKIMI TAŞIYAMIYOR")</f>
        <v xml:space="preserve"> UYGUNDUR</v>
      </c>
    </row>
    <row r="24" spans="1:16" ht="41.4">
      <c r="A24" s="51">
        <v>44</v>
      </c>
      <c r="B24" s="51">
        <v>44</v>
      </c>
      <c r="C24" s="51">
        <v>40</v>
      </c>
      <c r="D24" s="51">
        <v>1</v>
      </c>
      <c r="E24" s="86">
        <v>45</v>
      </c>
      <c r="F24" s="51">
        <f>C24*D24*E24</f>
        <v>1800</v>
      </c>
      <c r="G24" s="51">
        <f>0.5*(F24)</f>
        <v>900</v>
      </c>
      <c r="H24" s="51">
        <f>G24/(SQRT(3)*380)</f>
        <v>1.3674085322912191</v>
      </c>
      <c r="I24" s="51">
        <f>H24</f>
        <v>1.3674085322912191</v>
      </c>
      <c r="J24" s="51">
        <f>I24*C24</f>
        <v>54.696341291648764</v>
      </c>
      <c r="K24" s="51">
        <v>164.0890239</v>
      </c>
      <c r="L24" s="51">
        <f t="shared" si="3"/>
        <v>0.58603222821428569</v>
      </c>
      <c r="M24" s="84">
        <f>IF(L24&gt;[2]Veriler!$D$1,IF(L24&gt;[2]Veriler!$D$2,IF(L24&gt;[2]Veriler!$D$3,IF(L24&gt;[2]Veriler!$D$4,IF(L24&gt;[2]Veriler!$D$5,IF(L24&gt;[2]Veriler!$D$6,IF(L24&gt;[2]Veriler!$D$7,IF(L24&gt;[2]Veriler!$D$8,"ders sorumlusuna başvur",[2]Veriler!$A$8),[2]Veriler!$A$7),[2]Veriler!$A$6),[2]Veriler!$A$5),[2]Veriler!$A$4),[2]Veriler!$A$3),[2]Veriler!$A$2),[2]Veriler!$A$1)</f>
        <v>1</v>
      </c>
      <c r="N24" s="85">
        <v>1</v>
      </c>
      <c r="O24" s="85" t="str">
        <f>VLOOKUP(N21,[2]Veriler!A$1:C$8,2,FALSE)</f>
        <v>5 x Rose</v>
      </c>
      <c r="P24" s="85" t="str">
        <f>IF(I24&lt;VLOOKUP(N24,[2]Veriler!A$1:E$8,5,FALSE)," UYGUNDUR","KESİT AKIMI TAŞIYAMIYOR")</f>
        <v xml:space="preserve"> UYGUNDUR</v>
      </c>
    </row>
    <row r="25" spans="1:16" ht="41.4">
      <c r="A25" s="51">
        <v>45</v>
      </c>
      <c r="B25" s="51">
        <v>45</v>
      </c>
      <c r="C25" s="51">
        <v>10</v>
      </c>
      <c r="D25" s="51">
        <v>0</v>
      </c>
      <c r="E25" s="86">
        <v>45</v>
      </c>
      <c r="F25" s="51">
        <f>C25*D25*E25</f>
        <v>0</v>
      </c>
      <c r="G25" s="51">
        <v>0</v>
      </c>
      <c r="H25" s="51">
        <f>G25/(SQRT(3)*380)</f>
        <v>0</v>
      </c>
      <c r="I25" s="51"/>
      <c r="J25" s="51"/>
      <c r="K25" s="51"/>
      <c r="L25" s="51"/>
      <c r="M25" s="84">
        <f>IF(L25&gt;[2]Veriler!$D$1,IF(L25&gt;[2]Veriler!$D$2,IF(L25&gt;[2]Veriler!$D$3,IF(L25&gt;[2]Veriler!$D$4,IF(L25&gt;[2]Veriler!$D$5,IF(L25&gt;[2]Veriler!$D$6,IF(L25&gt;[2]Veriler!$D$7,IF(L25&gt;[2]Veriler!$D$8,"ders sorumlusuna başvur",[2]Veriler!$A$8),[2]Veriler!$A$7),[2]Veriler!$A$6),[2]Veriler!$A$5),[2]Veriler!$A$4),[2]Veriler!$A$3),[2]Veriler!$A$2),[2]Veriler!$A$1)</f>
        <v>1</v>
      </c>
      <c r="N25" s="85">
        <v>1</v>
      </c>
      <c r="O25" s="85" t="str">
        <f>VLOOKUP(N25,[2]Veriler!A$1:C$8,2,FALSE)</f>
        <v>5 x Rose</v>
      </c>
      <c r="P25" s="85" t="str">
        <f>IF(I25&lt;VLOOKUP(N25,[2]Veriler!A$1:E$8,5,FALSE)," UYGUNDUR","KESİT AKIMI TAŞIYAMIYOR")</f>
        <v xml:space="preserve"> UYGUNDUR</v>
      </c>
    </row>
    <row r="26" spans="1:16" ht="41.4">
      <c r="A26" s="51">
        <v>46</v>
      </c>
      <c r="B26" s="51">
        <v>46</v>
      </c>
      <c r="C26" s="51">
        <v>40</v>
      </c>
      <c r="D26" s="51">
        <v>0</v>
      </c>
      <c r="E26" s="86">
        <v>45</v>
      </c>
      <c r="F26" s="51">
        <f t="shared" ref="F26:F49" si="4">C26*D26*E26</f>
        <v>0</v>
      </c>
      <c r="G26" s="51">
        <v>0</v>
      </c>
      <c r="H26" s="51">
        <f>G26/(SQRT(3)*380)</f>
        <v>0</v>
      </c>
      <c r="I26" s="51"/>
      <c r="J26" s="51"/>
      <c r="K26" s="51"/>
      <c r="L26" s="51"/>
      <c r="M26" s="84">
        <f>IF(L26&gt;[2]Veriler!$D$1,IF(L26&gt;[2]Veriler!$D$2,IF(L26&gt;[2]Veriler!$D$3,IF(L26&gt;[2]Veriler!$D$4,IF(L26&gt;[2]Veriler!$D$5,IF(L26&gt;[2]Veriler!$D$6,IF(L26&gt;[2]Veriler!$D$7,IF(L26&gt;[2]Veriler!$D$8,"ders sorumlusuna başvur",[2]Veriler!$A$8),[2]Veriler!$A$7),[2]Veriler!$A$6),[2]Veriler!$A$5),[2]Veriler!$A$4),[2]Veriler!$A$3),[2]Veriler!$A$2),[2]Veriler!$A$1)</f>
        <v>1</v>
      </c>
      <c r="N26" s="85">
        <v>1</v>
      </c>
      <c r="O26" s="85" t="str">
        <f>VLOOKUP(N26,[2]Veriler!A$1:C$8,2,FALSE)</f>
        <v>5 x Rose</v>
      </c>
      <c r="P26" s="85" t="str">
        <f>IF(I26&lt;VLOOKUP(N26,[2]Veriler!A$1:E$8,5,FALSE)," UYGUNDUR","KESİT AKIMI TAŞIYAMIYOR")</f>
        <v xml:space="preserve"> UYGUNDUR</v>
      </c>
    </row>
    <row r="27" spans="1:16" ht="41.4">
      <c r="A27" s="51">
        <v>47</v>
      </c>
      <c r="B27" s="51">
        <v>47</v>
      </c>
      <c r="C27" s="51">
        <v>40</v>
      </c>
      <c r="D27" s="51">
        <v>0</v>
      </c>
      <c r="E27" s="86">
        <v>45</v>
      </c>
      <c r="F27" s="51">
        <f t="shared" si="4"/>
        <v>0</v>
      </c>
      <c r="G27" s="51">
        <v>0</v>
      </c>
      <c r="H27" s="51">
        <f t="shared" ref="H27:H49" si="5">G27/(SQRT(3)*380)</f>
        <v>0</v>
      </c>
      <c r="I27" s="51"/>
      <c r="J27" s="51"/>
      <c r="K27" s="51"/>
      <c r="L27" s="51"/>
      <c r="M27" s="84">
        <f>IF(L27&gt;[2]Veriler!$D$1,IF(L27&gt;[2]Veriler!$D$2,IF(L27&gt;[2]Veriler!$D$3,IF(L27&gt;[2]Veriler!$D$4,IF(L27&gt;[2]Veriler!$D$5,IF(L27&gt;[2]Veriler!$D$6,IF(L27&gt;[2]Veriler!$D$7,IF(L27&gt;[2]Veriler!$D$8,"ders sorumlusuna başvur",[2]Veriler!$A$8),[2]Veriler!$A$7),[2]Veriler!$A$6),[2]Veriler!$A$5),[2]Veriler!$A$4),[2]Veriler!$A$3),[2]Veriler!$A$2),[2]Veriler!$A$1)</f>
        <v>1</v>
      </c>
      <c r="N27" s="85">
        <v>2</v>
      </c>
      <c r="O27" s="85" t="str">
        <f>VLOOKUP(N27,[2]Veriler!A$1:C$8,2,FALSE)</f>
        <v>3 x Lily + Rose/Lily</v>
      </c>
      <c r="P27" s="85" t="str">
        <f>IF(I27&lt;VLOOKUP(N27,[2]Veriler!A$1:E$8,5,FALSE)," UYGUNDUR","KESİT AKIMI TAŞIYAMIYOR")</f>
        <v xml:space="preserve"> UYGUNDUR</v>
      </c>
    </row>
    <row r="28" spans="1:16" ht="41.4">
      <c r="A28" s="51">
        <v>48</v>
      </c>
      <c r="B28" s="51">
        <v>48</v>
      </c>
      <c r="C28" s="51">
        <v>40</v>
      </c>
      <c r="D28" s="51">
        <v>0</v>
      </c>
      <c r="E28" s="86">
        <v>45</v>
      </c>
      <c r="F28" s="51">
        <f t="shared" si="4"/>
        <v>0</v>
      </c>
      <c r="G28" s="51">
        <v>0</v>
      </c>
      <c r="H28" s="51">
        <f t="shared" si="5"/>
        <v>0</v>
      </c>
      <c r="I28" s="51"/>
      <c r="J28" s="51"/>
      <c r="K28" s="51"/>
      <c r="L28" s="51"/>
      <c r="M28" s="84">
        <f>IF(L28&gt;[2]Veriler!$D$1,IF(L28&gt;[2]Veriler!$D$2,IF(L28&gt;[2]Veriler!$D$3,IF(L28&gt;[2]Veriler!$D$4,IF(L28&gt;[2]Veriler!$D$5,IF(L28&gt;[2]Veriler!$D$6,IF(L28&gt;[2]Veriler!$D$7,IF(L28&gt;[2]Veriler!$D$8,"ders sorumlusuna başvur",[2]Veriler!$A$8),[2]Veriler!$A$7),[2]Veriler!$A$6),[2]Veriler!$A$5),[2]Veriler!$A$4),[2]Veriler!$A$3),[2]Veriler!$A$2),[2]Veriler!$A$1)</f>
        <v>1</v>
      </c>
      <c r="N28" s="85">
        <v>1</v>
      </c>
      <c r="O28" s="85" t="str">
        <f>VLOOKUP(N28,[2]Veriler!A$1:C$8,2,FALSE)</f>
        <v>5 x Rose</v>
      </c>
      <c r="P28" s="85" t="str">
        <f>IF(I28&lt;VLOOKUP(N28,[2]Veriler!A$1:E$8,5,FALSE)," UYGUNDUR","KESİT AKIMI TAŞIYAMIYOR")</f>
        <v xml:space="preserve"> UYGUNDUR</v>
      </c>
    </row>
    <row r="29" spans="1:16" ht="41.4">
      <c r="A29" s="51">
        <v>49</v>
      </c>
      <c r="B29" s="51">
        <v>49</v>
      </c>
      <c r="C29" s="51">
        <v>40</v>
      </c>
      <c r="D29" s="51">
        <v>0</v>
      </c>
      <c r="E29" s="86">
        <v>45</v>
      </c>
      <c r="F29" s="51">
        <f t="shared" si="4"/>
        <v>0</v>
      </c>
      <c r="G29" s="51">
        <v>0</v>
      </c>
      <c r="H29" s="51">
        <f t="shared" si="5"/>
        <v>0</v>
      </c>
      <c r="I29" s="51"/>
      <c r="J29" s="51"/>
      <c r="K29" s="51"/>
      <c r="L29" s="51"/>
      <c r="M29" s="84">
        <f>IF(L29&gt;[2]Veriler!$D$1,IF(L29&gt;[2]Veriler!$D$2,IF(L29&gt;[2]Veriler!$D$3,IF(L29&gt;[2]Veriler!$D$4,IF(L29&gt;[2]Veriler!$D$5,IF(L29&gt;[2]Veriler!$D$6,IF(L29&gt;[2]Veriler!$D$7,IF(L29&gt;[2]Veriler!$D$8,"ders sorumlusuna başvur",[2]Veriler!$A$8),[2]Veriler!$A$7),[2]Veriler!$A$6),[2]Veriler!$A$5),[2]Veriler!$A$4),[2]Veriler!$A$3),[2]Veriler!$A$2),[2]Veriler!$A$1)</f>
        <v>1</v>
      </c>
      <c r="N29" s="85">
        <v>1</v>
      </c>
      <c r="O29" s="85" t="str">
        <f>VLOOKUP(N29,[2]Veriler!A$1:C$8,2,FALSE)</f>
        <v>5 x Rose</v>
      </c>
      <c r="P29" s="85" t="str">
        <f>IF(I29&lt;VLOOKUP(N29,[2]Veriler!A$1:E$8,5,FALSE)," UYGUNDUR","KESİT AKIMI TAŞIYAMIYOR")</f>
        <v xml:space="preserve"> UYGUNDUR</v>
      </c>
    </row>
    <row r="30" spans="1:16" ht="41.4">
      <c r="A30" s="51">
        <v>50</v>
      </c>
      <c r="B30" s="51">
        <v>50</v>
      </c>
      <c r="C30" s="51">
        <v>17</v>
      </c>
      <c r="D30" s="51">
        <v>0</v>
      </c>
      <c r="E30" s="86">
        <v>45</v>
      </c>
      <c r="F30" s="51">
        <f t="shared" si="4"/>
        <v>0</v>
      </c>
      <c r="G30" s="51">
        <v>0</v>
      </c>
      <c r="H30" s="51">
        <f t="shared" si="5"/>
        <v>0</v>
      </c>
      <c r="I30" s="51"/>
      <c r="J30" s="51"/>
      <c r="K30" s="51"/>
      <c r="L30" s="51"/>
      <c r="M30" s="84">
        <f>IF(L30&gt;[2]Veriler!$D$1,IF(L30&gt;[2]Veriler!$D$2,IF(L30&gt;[2]Veriler!$D$3,IF(L30&gt;[2]Veriler!$D$4,IF(L30&gt;[2]Veriler!$D$5,IF(L30&gt;[2]Veriler!$D$6,IF(L30&gt;[2]Veriler!$D$7,IF(L30&gt;[2]Veriler!$D$8,"ders sorumlusuna başvur",[2]Veriler!$A$8),[2]Veriler!$A$7),[2]Veriler!$A$6),[2]Veriler!$A$5),[2]Veriler!$A$4),[2]Veriler!$A$3),[2]Veriler!$A$2),[2]Veriler!$A$1)</f>
        <v>1</v>
      </c>
      <c r="N30" s="85">
        <v>1</v>
      </c>
      <c r="O30" s="85" t="str">
        <f>VLOOKUP(N30,[2]Veriler!A$1:C$8,2,FALSE)</f>
        <v>5 x Rose</v>
      </c>
      <c r="P30" s="85" t="str">
        <f>IF(I30&lt;VLOOKUP(N30,[2]Veriler!A$1:E$8,5,FALSE)," UYGUNDUR","KESİT AKIMI TAŞIYAMIYOR")</f>
        <v xml:space="preserve"> UYGUNDUR</v>
      </c>
    </row>
    <row r="31" spans="1:16" ht="41.4">
      <c r="A31" s="51">
        <v>51</v>
      </c>
      <c r="B31" s="51">
        <v>51</v>
      </c>
      <c r="C31" s="51">
        <v>30</v>
      </c>
      <c r="D31" s="51">
        <v>0</v>
      </c>
      <c r="E31" s="86">
        <v>45</v>
      </c>
      <c r="F31" s="51">
        <f t="shared" si="4"/>
        <v>0</v>
      </c>
      <c r="G31" s="51">
        <v>0</v>
      </c>
      <c r="H31" s="51">
        <f t="shared" si="5"/>
        <v>0</v>
      </c>
      <c r="I31" s="51"/>
      <c r="J31" s="51"/>
      <c r="K31" s="51"/>
      <c r="L31" s="51"/>
      <c r="M31" s="84">
        <f>IF(L31&gt;[2]Veriler!$D$1,IF(L31&gt;[2]Veriler!$D$2,IF(L31&gt;[2]Veriler!$D$3,IF(L31&gt;[2]Veriler!$D$4,IF(L31&gt;[2]Veriler!$D$5,IF(L31&gt;[2]Veriler!$D$6,IF(L31&gt;[2]Veriler!$D$7,IF(L31&gt;[2]Veriler!$D$8,"ders sorumlusuna başvur",[2]Veriler!$A$8),[2]Veriler!$A$7),[2]Veriler!$A$6),[2]Veriler!$A$5),[2]Veriler!$A$4),[2]Veriler!$A$3),[2]Veriler!$A$2),[2]Veriler!$A$1)</f>
        <v>1</v>
      </c>
      <c r="N31" s="85">
        <v>1</v>
      </c>
      <c r="O31" s="85" t="str">
        <f>VLOOKUP(N31,[2]Veriler!A$1:C$8,2,FALSE)</f>
        <v>5 x Rose</v>
      </c>
      <c r="P31" s="85" t="str">
        <f>IF(I31&lt;VLOOKUP(N31,[2]Veriler!A$1:E$8,5,FALSE)," UYGUNDUR","KESİT AKIMI TAŞIYAMIYOR")</f>
        <v xml:space="preserve"> UYGUNDUR</v>
      </c>
    </row>
    <row r="32" spans="1:16" ht="41.4">
      <c r="A32" s="51">
        <v>52</v>
      </c>
      <c r="B32" s="51">
        <v>52</v>
      </c>
      <c r="C32" s="51">
        <v>40</v>
      </c>
      <c r="D32" s="51">
        <v>0</v>
      </c>
      <c r="E32" s="86">
        <v>45</v>
      </c>
      <c r="F32" s="51">
        <f t="shared" si="4"/>
        <v>0</v>
      </c>
      <c r="G32" s="51">
        <v>0</v>
      </c>
      <c r="H32" s="51">
        <f t="shared" si="5"/>
        <v>0</v>
      </c>
      <c r="I32" s="51"/>
      <c r="J32" s="51"/>
      <c r="K32" s="51"/>
      <c r="L32" s="51"/>
      <c r="M32" s="84">
        <f>IF(L32&gt;[2]Veriler!$D$1,IF(L32&gt;[2]Veriler!$D$2,IF(L32&gt;[2]Veriler!$D$3,IF(L32&gt;[2]Veriler!$D$4,IF(L32&gt;[2]Veriler!$D$5,IF(L32&gt;[2]Veriler!$D$6,IF(L32&gt;[2]Veriler!$D$7,IF(L32&gt;[2]Veriler!$D$8,"ders sorumlusuna başvur",[2]Veriler!$A$8),[2]Veriler!$A$7),[2]Veriler!$A$6),[2]Veriler!$A$5),[2]Veriler!$A$4),[2]Veriler!$A$3),[2]Veriler!$A$2),[2]Veriler!$A$1)</f>
        <v>1</v>
      </c>
      <c r="N32" s="85">
        <v>1</v>
      </c>
      <c r="O32" s="85" t="str">
        <f>VLOOKUP(N32,[2]Veriler!A$1:C$8,2,FALSE)</f>
        <v>5 x Rose</v>
      </c>
      <c r="P32" s="85" t="str">
        <f>IF(I32&lt;VLOOKUP(N32,[2]Veriler!A$1:E$8,5,FALSE)," UYGUNDUR","KESİT AKIMI TAŞIYAMIYOR")</f>
        <v xml:space="preserve"> UYGUNDUR</v>
      </c>
    </row>
    <row r="33" spans="1:16" ht="41.4">
      <c r="A33" s="51">
        <v>53</v>
      </c>
      <c r="B33" s="51">
        <v>53</v>
      </c>
      <c r="C33" s="51">
        <v>40</v>
      </c>
      <c r="D33" s="51">
        <v>0</v>
      </c>
      <c r="E33" s="86">
        <v>45</v>
      </c>
      <c r="F33" s="51">
        <f t="shared" si="4"/>
        <v>0</v>
      </c>
      <c r="G33" s="51">
        <v>0</v>
      </c>
      <c r="H33" s="51">
        <f t="shared" si="5"/>
        <v>0</v>
      </c>
      <c r="I33" s="51"/>
      <c r="J33" s="51"/>
      <c r="K33" s="51"/>
      <c r="L33" s="51"/>
      <c r="M33" s="84">
        <f>IF(L33&gt;[2]Veriler!$D$1,IF(L33&gt;[2]Veriler!$D$2,IF(L33&gt;[2]Veriler!$D$3,IF(L33&gt;[2]Veriler!$D$4,IF(L33&gt;[2]Veriler!$D$5,IF(L33&gt;[2]Veriler!$D$6,IF(L33&gt;[2]Veriler!$D$7,IF(L33&gt;[2]Veriler!$D$8,"ders sorumlusuna başvur",[2]Veriler!$A$8),[2]Veriler!$A$7),[2]Veriler!$A$6),[2]Veriler!$A$5),[2]Veriler!$A$4),[2]Veriler!$A$3),[2]Veriler!$A$2),[2]Veriler!$A$1)</f>
        <v>1</v>
      </c>
      <c r="N33" s="85">
        <v>1</v>
      </c>
      <c r="O33" s="85" t="str">
        <f>VLOOKUP(N33,[2]Veriler!A$1:C$8,2,FALSE)</f>
        <v>5 x Rose</v>
      </c>
      <c r="P33" s="85" t="str">
        <f>IF(I33&lt;VLOOKUP(N33,[2]Veriler!A$1:E$8,5,FALSE)," UYGUNDUR","KESİT AKIMI TAŞIYAMIYOR")</f>
        <v xml:space="preserve"> UYGUNDUR</v>
      </c>
    </row>
    <row r="34" spans="1:16" ht="41.4">
      <c r="A34" s="51">
        <v>54</v>
      </c>
      <c r="B34" s="51">
        <v>54</v>
      </c>
      <c r="C34" s="51">
        <v>40</v>
      </c>
      <c r="D34" s="51">
        <v>0</v>
      </c>
      <c r="E34" s="86">
        <v>45</v>
      </c>
      <c r="F34" s="51">
        <f t="shared" si="4"/>
        <v>0</v>
      </c>
      <c r="G34" s="51">
        <v>0</v>
      </c>
      <c r="H34" s="51">
        <f t="shared" si="5"/>
        <v>0</v>
      </c>
      <c r="I34" s="51"/>
      <c r="J34" s="51"/>
      <c r="K34" s="51"/>
      <c r="L34" s="51"/>
      <c r="M34" s="84">
        <f>IF(L34&gt;[2]Veriler!$D$1,IF(L34&gt;[2]Veriler!$D$2,IF(L34&gt;[2]Veriler!$D$3,IF(L34&gt;[2]Veriler!$D$4,IF(L34&gt;[2]Veriler!$D$5,IF(L34&gt;[2]Veriler!$D$6,IF(L34&gt;[2]Veriler!$D$7,IF(L34&gt;[2]Veriler!$D$8,"ders sorumlusuna başvur",[2]Veriler!$A$8),[2]Veriler!$A$7),[2]Veriler!$A$6),[2]Veriler!$A$5),[2]Veriler!$A$4),[2]Veriler!$A$3),[2]Veriler!$A$2),[2]Veriler!$A$1)</f>
        <v>1</v>
      </c>
      <c r="N34" s="85">
        <v>1</v>
      </c>
      <c r="O34" s="85" t="str">
        <f>VLOOKUP(N34,[2]Veriler!A$1:C$8,2,FALSE)</f>
        <v>5 x Rose</v>
      </c>
      <c r="P34" s="85" t="str">
        <f>IF(I34&lt;VLOOKUP(N34,[2]Veriler!A$1:E$8,5,FALSE)," UYGUNDUR","KESİT AKIMI TAŞIYAMIYOR")</f>
        <v xml:space="preserve"> UYGUNDUR</v>
      </c>
    </row>
    <row r="35" spans="1:16" ht="41.4">
      <c r="A35" s="51">
        <v>55</v>
      </c>
      <c r="B35" s="51">
        <v>55</v>
      </c>
      <c r="C35" s="51">
        <v>40</v>
      </c>
      <c r="D35" s="51">
        <v>0</v>
      </c>
      <c r="E35" s="86">
        <v>45</v>
      </c>
      <c r="F35" s="51">
        <f t="shared" si="4"/>
        <v>0</v>
      </c>
      <c r="G35" s="51">
        <v>0</v>
      </c>
      <c r="H35" s="51">
        <f t="shared" si="5"/>
        <v>0</v>
      </c>
      <c r="I35" s="51"/>
      <c r="J35" s="51"/>
      <c r="K35" s="51"/>
      <c r="L35" s="51"/>
      <c r="M35" s="84">
        <f>IF(L35&gt;[2]Veriler!$D$1,IF(L35&gt;[2]Veriler!$D$2,IF(L35&gt;[2]Veriler!$D$3,IF(L35&gt;[2]Veriler!$D$4,IF(L35&gt;[2]Veriler!$D$5,IF(L35&gt;[2]Veriler!$D$6,IF(L35&gt;[2]Veriler!$D$7,IF(L35&gt;[2]Veriler!$D$8,"ders sorumlusuna başvur",[2]Veriler!$A$8),[2]Veriler!$A$7),[2]Veriler!$A$6),[2]Veriler!$A$5),[2]Veriler!$A$4),[2]Veriler!$A$3),[2]Veriler!$A$2),[2]Veriler!$A$1)</f>
        <v>1</v>
      </c>
      <c r="N35" s="85">
        <v>1</v>
      </c>
      <c r="O35" s="85" t="str">
        <f>VLOOKUP(N32,[2]Veriler!A$1:C$8,2,FALSE)</f>
        <v>5 x Rose</v>
      </c>
      <c r="P35" s="85" t="str">
        <f>IF(I35&lt;VLOOKUP(N35,[2]Veriler!A$1:E$8,5,FALSE)," UYGUNDUR","KESİT AKIMI TAŞIYAMIYOR")</f>
        <v xml:space="preserve"> UYGUNDUR</v>
      </c>
    </row>
    <row r="36" spans="1:16" ht="41.4">
      <c r="A36" s="51">
        <v>56</v>
      </c>
      <c r="B36" s="51">
        <v>56</v>
      </c>
      <c r="C36" s="51">
        <v>40</v>
      </c>
      <c r="D36" s="51">
        <v>0</v>
      </c>
      <c r="E36" s="86">
        <v>45</v>
      </c>
      <c r="F36" s="51">
        <f t="shared" si="4"/>
        <v>0</v>
      </c>
      <c r="G36" s="51">
        <v>0</v>
      </c>
      <c r="H36" s="51">
        <f t="shared" si="5"/>
        <v>0</v>
      </c>
      <c r="I36" s="51"/>
      <c r="J36" s="51"/>
      <c r="K36" s="51"/>
      <c r="L36" s="51"/>
      <c r="M36" s="84">
        <f>IF(L36&gt;[2]Veriler!$D$1,IF(L36&gt;[2]Veriler!$D$2,IF(L36&gt;[2]Veriler!$D$3,IF(L36&gt;[2]Veriler!$D$4,IF(L36&gt;[2]Veriler!$D$5,IF(L36&gt;[2]Veriler!$D$6,IF(L36&gt;[2]Veriler!$D$7,IF(L36&gt;[2]Veriler!$D$8,"ders sorumlusuna başvur",[2]Veriler!$A$8),[2]Veriler!$A$7),[2]Veriler!$A$6),[2]Veriler!$A$5),[2]Veriler!$A$4),[2]Veriler!$A$3),[2]Veriler!$A$2),[2]Veriler!$A$1)</f>
        <v>1</v>
      </c>
      <c r="N36" s="85">
        <v>1</v>
      </c>
      <c r="O36" s="85" t="str">
        <f>VLOOKUP(N33,[2]Veriler!A$1:C$8,2,FALSE)</f>
        <v>5 x Rose</v>
      </c>
      <c r="P36" s="85" t="str">
        <f>IF(I36&lt;VLOOKUP(N36,[2]Veriler!A$1:E$8,5,FALSE)," UYGUNDUR","KESİT AKIMI TAŞIYAMIYOR")</f>
        <v xml:space="preserve"> UYGUNDUR</v>
      </c>
    </row>
    <row r="37" spans="1:16" ht="41.4">
      <c r="A37" s="51">
        <v>57</v>
      </c>
      <c r="B37" s="51">
        <v>57</v>
      </c>
      <c r="C37" s="51">
        <v>40</v>
      </c>
      <c r="D37" s="51">
        <v>0</v>
      </c>
      <c r="E37" s="86">
        <v>45</v>
      </c>
      <c r="F37" s="51">
        <f t="shared" si="4"/>
        <v>0</v>
      </c>
      <c r="G37" s="51">
        <v>0</v>
      </c>
      <c r="H37" s="51">
        <f t="shared" si="5"/>
        <v>0</v>
      </c>
      <c r="I37" s="51"/>
      <c r="J37" s="51"/>
      <c r="K37" s="51"/>
      <c r="L37" s="51"/>
      <c r="M37" s="84">
        <f>IF(L37&gt;[2]Veriler!$D$1,IF(L37&gt;[2]Veriler!$D$2,IF(L37&gt;[2]Veriler!$D$3,IF(L37&gt;[2]Veriler!$D$4,IF(L37&gt;[2]Veriler!$D$5,IF(L37&gt;[2]Veriler!$D$6,IF(L37&gt;[2]Veriler!$D$7,IF(L37&gt;[2]Veriler!$D$8,"ders sorumlusuna başvur",[2]Veriler!$A$8),[2]Veriler!$A$7),[2]Veriler!$A$6),[2]Veriler!$A$5),[2]Veriler!$A$4),[2]Veriler!$A$3),[2]Veriler!$A$2),[2]Veriler!$A$1)</f>
        <v>1</v>
      </c>
      <c r="N37" s="85">
        <v>1</v>
      </c>
      <c r="O37" s="85" t="str">
        <f>VLOOKUP(N34,[2]Veriler!A$1:C$8,2,FALSE)</f>
        <v>5 x Rose</v>
      </c>
      <c r="P37" s="85" t="str">
        <f>IF(I37&lt;VLOOKUP(N37,[2]Veriler!A$1:E$8,5,FALSE)," UYGUNDUR","KESİT AKIMI TAŞIYAMIYOR")</f>
        <v xml:space="preserve"> UYGUNDUR</v>
      </c>
    </row>
    <row r="38" spans="1:16" ht="41.4">
      <c r="A38" s="51">
        <v>58</v>
      </c>
      <c r="B38" s="51">
        <v>58</v>
      </c>
      <c r="C38" s="51">
        <v>40</v>
      </c>
      <c r="D38" s="51">
        <v>0</v>
      </c>
      <c r="E38" s="86">
        <v>45</v>
      </c>
      <c r="F38" s="51">
        <f t="shared" si="4"/>
        <v>0</v>
      </c>
      <c r="G38" s="51">
        <v>0</v>
      </c>
      <c r="H38" s="51">
        <f t="shared" si="5"/>
        <v>0</v>
      </c>
      <c r="I38" s="51"/>
      <c r="J38" s="51"/>
      <c r="K38" s="51"/>
      <c r="L38" s="51"/>
      <c r="M38" s="84">
        <f>IF(L38&gt;[2]Veriler!$D$1,IF(L38&gt;[2]Veriler!$D$2,IF(L38&gt;[2]Veriler!$D$3,IF(L38&gt;[2]Veriler!$D$4,IF(L38&gt;[2]Veriler!$D$5,IF(L38&gt;[2]Veriler!$D$6,IF(L38&gt;[2]Veriler!$D$7,IF(L38&gt;[2]Veriler!$D$8,"ders sorumlusuna başvur",[2]Veriler!$A$8),[2]Veriler!$A$7),[2]Veriler!$A$6),[2]Veriler!$A$5),[2]Veriler!$A$4),[2]Veriler!$A$3),[2]Veriler!$A$2),[2]Veriler!$A$1)</f>
        <v>1</v>
      </c>
      <c r="N38" s="85">
        <v>1</v>
      </c>
      <c r="O38" s="85" t="str">
        <f>VLOOKUP(N35,[2]Veriler!A$1:C$8,2,FALSE)</f>
        <v>5 x Rose</v>
      </c>
      <c r="P38" s="85" t="str">
        <f>IF(I38&lt;VLOOKUP(N38,[2]Veriler!A$1:E$8,5,FALSE)," UYGUNDUR","KESİT AKIMI TAŞIYAMIYOR")</f>
        <v xml:space="preserve"> UYGUNDUR</v>
      </c>
    </row>
    <row r="39" spans="1:16" ht="41.4">
      <c r="A39" s="51">
        <v>59</v>
      </c>
      <c r="B39" s="51">
        <v>59</v>
      </c>
      <c r="C39" s="51">
        <v>40</v>
      </c>
      <c r="D39" s="51">
        <v>0</v>
      </c>
      <c r="E39" s="86">
        <v>45</v>
      </c>
      <c r="F39" s="51">
        <f t="shared" si="4"/>
        <v>0</v>
      </c>
      <c r="G39" s="51">
        <v>0</v>
      </c>
      <c r="H39" s="51">
        <f t="shared" si="5"/>
        <v>0</v>
      </c>
      <c r="I39" s="51"/>
      <c r="J39" s="51"/>
      <c r="K39" s="51"/>
      <c r="L39" s="51"/>
      <c r="M39" s="84">
        <f>IF(L39&gt;[2]Veriler!$D$1,IF(L39&gt;[2]Veriler!$D$2,IF(L39&gt;[2]Veriler!$D$3,IF(L39&gt;[2]Veriler!$D$4,IF(L39&gt;[2]Veriler!$D$5,IF(L39&gt;[2]Veriler!$D$6,IF(L39&gt;[2]Veriler!$D$7,IF(L39&gt;[2]Veriler!$D$8,"ders sorumlusuna başvur",[2]Veriler!$A$8),[2]Veriler!$A$7),[2]Veriler!$A$6),[2]Veriler!$A$5),[2]Veriler!$A$4),[2]Veriler!$A$3),[2]Veriler!$A$2),[2]Veriler!$A$1)</f>
        <v>1</v>
      </c>
      <c r="N39" s="85">
        <v>1</v>
      </c>
      <c r="O39" s="85" t="str">
        <f>VLOOKUP(N36,[2]Veriler!A$1:C$8,2,FALSE)</f>
        <v>5 x Rose</v>
      </c>
      <c r="P39" s="85" t="str">
        <f>IF(I39&lt;VLOOKUP(N39,[2]Veriler!A$1:E$8,5,FALSE)," UYGUNDUR","KESİT AKIMI TAŞIYAMIYOR")</f>
        <v xml:space="preserve"> UYGUNDUR</v>
      </c>
    </row>
    <row r="40" spans="1:16" ht="41.4">
      <c r="A40" s="51">
        <v>60</v>
      </c>
      <c r="B40" s="51">
        <v>60</v>
      </c>
      <c r="C40" s="51">
        <v>31</v>
      </c>
      <c r="D40" s="51">
        <v>0</v>
      </c>
      <c r="E40" s="86">
        <v>45</v>
      </c>
      <c r="F40" s="51">
        <f t="shared" si="4"/>
        <v>0</v>
      </c>
      <c r="G40" s="51">
        <v>0</v>
      </c>
      <c r="H40" s="51">
        <f t="shared" si="5"/>
        <v>0</v>
      </c>
      <c r="I40" s="51"/>
      <c r="J40" s="51"/>
      <c r="K40" s="51"/>
      <c r="L40" s="51"/>
      <c r="M40" s="84">
        <f>IF(L40&gt;[2]Veriler!$D$1,IF(L40&gt;[2]Veriler!$D$2,IF(L40&gt;[2]Veriler!$D$3,IF(L40&gt;[2]Veriler!$D$4,IF(L40&gt;[2]Veriler!$D$5,IF(L40&gt;[2]Veriler!$D$6,IF(L40&gt;[2]Veriler!$D$7,IF(L40&gt;[2]Veriler!$D$8,"ders sorumlusuna başvur",[2]Veriler!$A$8),[2]Veriler!$A$7),[2]Veriler!$A$6),[2]Veriler!$A$5),[2]Veriler!$A$4),[2]Veriler!$A$3),[2]Veriler!$A$2),[2]Veriler!$A$1)</f>
        <v>1</v>
      </c>
      <c r="N40" s="85">
        <v>1</v>
      </c>
      <c r="O40" s="85" t="str">
        <f>VLOOKUP(N37,[2]Veriler!A$1:C$8,2,FALSE)</f>
        <v>5 x Rose</v>
      </c>
      <c r="P40" s="85" t="str">
        <f>IF(I40&lt;VLOOKUP(N40,[2]Veriler!A$1:E$8,5,FALSE)," UYGUNDUR","KESİT AKIMI TAŞIYAMIYOR")</f>
        <v xml:space="preserve"> UYGUNDUR</v>
      </c>
    </row>
    <row r="41" spans="1:16" ht="41.4">
      <c r="A41" s="51">
        <v>61</v>
      </c>
      <c r="B41" s="51">
        <v>61</v>
      </c>
      <c r="C41" s="51">
        <v>31</v>
      </c>
      <c r="D41" s="51">
        <v>0</v>
      </c>
      <c r="E41" s="86">
        <v>45</v>
      </c>
      <c r="F41" s="51">
        <f t="shared" si="4"/>
        <v>0</v>
      </c>
      <c r="G41" s="51">
        <v>0</v>
      </c>
      <c r="H41" s="51">
        <f t="shared" si="5"/>
        <v>0</v>
      </c>
      <c r="I41" s="51"/>
      <c r="J41" s="51"/>
      <c r="K41" s="51"/>
      <c r="L41" s="51"/>
      <c r="M41" s="84">
        <f>IF(L41&gt;[2]Veriler!$D$1,IF(L41&gt;[2]Veriler!$D$2,IF(L41&gt;[2]Veriler!$D$3,IF(L41&gt;[2]Veriler!$D$4,IF(L41&gt;[2]Veriler!$D$5,IF(L41&gt;[2]Veriler!$D$6,IF(L41&gt;[2]Veriler!$D$7,IF(L41&gt;[2]Veriler!$D$8,"ders sorumlusuna başvur",[2]Veriler!$A$8),[2]Veriler!$A$7),[2]Veriler!$A$6),[2]Veriler!$A$5),[2]Veriler!$A$4),[2]Veriler!$A$3),[2]Veriler!$A$2),[2]Veriler!$A$1)</f>
        <v>1</v>
      </c>
      <c r="N41" s="85">
        <v>1</v>
      </c>
      <c r="O41" s="85" t="str">
        <f>VLOOKUP(N41,[2]Veriler!A$1:C$8,2,FALSE)</f>
        <v>5 x Rose</v>
      </c>
      <c r="P41" s="85" t="str">
        <f>IF(I41&lt;VLOOKUP(N41,[2]Veriler!A$1:E$8,5,FALSE)," UYGUNDUR","KESİT AKIMI TAŞIYAMIYOR")</f>
        <v xml:space="preserve"> UYGUNDUR</v>
      </c>
    </row>
    <row r="42" spans="1:16" ht="41.4">
      <c r="A42" s="51">
        <v>62</v>
      </c>
      <c r="B42" s="51">
        <v>62</v>
      </c>
      <c r="C42" s="51">
        <v>40</v>
      </c>
      <c r="D42" s="51">
        <v>0</v>
      </c>
      <c r="E42" s="86">
        <v>45</v>
      </c>
      <c r="F42" s="51">
        <f t="shared" si="4"/>
        <v>0</v>
      </c>
      <c r="G42" s="51">
        <v>0</v>
      </c>
      <c r="H42" s="51">
        <f t="shared" si="5"/>
        <v>0</v>
      </c>
      <c r="I42" s="51"/>
      <c r="J42" s="51"/>
      <c r="K42" s="51"/>
      <c r="L42" s="51"/>
      <c r="M42" s="84">
        <f>IF(L42&gt;[2]Veriler!$D$1,IF(L42&gt;[2]Veriler!$D$2,IF(L42&gt;[2]Veriler!$D$3,IF(L42&gt;[2]Veriler!$D$4,IF(L42&gt;[2]Veriler!$D$5,IF(L42&gt;[2]Veriler!$D$6,IF(L42&gt;[2]Veriler!$D$7,IF(L42&gt;[2]Veriler!$D$8,"ders sorumlusuna başvur",[2]Veriler!$A$8),[2]Veriler!$A$7),[2]Veriler!$A$6),[2]Veriler!$A$5),[2]Veriler!$A$4),[2]Veriler!$A$3),[2]Veriler!$A$2),[2]Veriler!$A$1)</f>
        <v>1</v>
      </c>
      <c r="N42" s="85">
        <v>1</v>
      </c>
      <c r="O42" s="85" t="str">
        <f>VLOOKUP(N42,[2]Veriler!A$1:C$8,2,FALSE)</f>
        <v>5 x Rose</v>
      </c>
      <c r="P42" s="85" t="str">
        <f>IF(I42&lt;VLOOKUP(N42,[2]Veriler!A$1:E$8,5,FALSE)," UYGUNDUR","KESİT AKIMI TAŞIYAMIYOR")</f>
        <v xml:space="preserve"> UYGUNDUR</v>
      </c>
    </row>
    <row r="43" spans="1:16" ht="41.4">
      <c r="A43" s="51">
        <v>63</v>
      </c>
      <c r="B43" s="51">
        <v>63</v>
      </c>
      <c r="C43" s="51">
        <v>37</v>
      </c>
      <c r="D43" s="51">
        <v>0</v>
      </c>
      <c r="E43" s="86">
        <v>45</v>
      </c>
      <c r="F43" s="51">
        <f t="shared" si="4"/>
        <v>0</v>
      </c>
      <c r="G43" s="51">
        <v>0</v>
      </c>
      <c r="H43" s="51">
        <f t="shared" si="5"/>
        <v>0</v>
      </c>
      <c r="I43" s="51"/>
      <c r="J43" s="51"/>
      <c r="K43" s="51"/>
      <c r="L43" s="51"/>
      <c r="M43" s="84">
        <f>IF(L43&gt;[2]Veriler!$D$1,IF(L43&gt;[2]Veriler!$D$2,IF(L43&gt;[2]Veriler!$D$3,IF(L43&gt;[2]Veriler!$D$4,IF(L43&gt;[2]Veriler!$D$5,IF(L43&gt;[2]Veriler!$D$6,IF(L43&gt;[2]Veriler!$D$7,IF(L43&gt;[2]Veriler!$D$8,"ders sorumlusuna başvur",[2]Veriler!$A$8),[2]Veriler!$A$7),[2]Veriler!$A$6),[2]Veriler!$A$5),[2]Veriler!$A$4),[2]Veriler!$A$3),[2]Veriler!$A$2),[2]Veriler!$A$1)</f>
        <v>1</v>
      </c>
      <c r="N43" s="85">
        <v>2</v>
      </c>
      <c r="O43" s="85" t="str">
        <f>VLOOKUP(N43,[2]Veriler!A$1:C$8,2,FALSE)</f>
        <v>3 x Lily + Rose/Lily</v>
      </c>
      <c r="P43" s="85" t="str">
        <f>IF(I43&lt;VLOOKUP(N43,[2]Veriler!A$1:E$8,5,FALSE)," UYGUNDUR","KESİT AKIMI TAŞIYAMIYOR")</f>
        <v xml:space="preserve"> UYGUNDUR</v>
      </c>
    </row>
    <row r="44" spans="1:16" ht="41.4">
      <c r="A44" s="51">
        <v>64</v>
      </c>
      <c r="B44" s="51">
        <v>64</v>
      </c>
      <c r="C44" s="51">
        <v>37</v>
      </c>
      <c r="D44" s="51">
        <v>0</v>
      </c>
      <c r="E44" s="86">
        <v>45</v>
      </c>
      <c r="F44" s="51">
        <f t="shared" si="4"/>
        <v>0</v>
      </c>
      <c r="G44" s="51">
        <v>0</v>
      </c>
      <c r="H44" s="51">
        <f t="shared" si="5"/>
        <v>0</v>
      </c>
      <c r="I44" s="51"/>
      <c r="J44" s="51"/>
      <c r="K44" s="51"/>
      <c r="L44" s="51"/>
      <c r="M44" s="84">
        <f>IF(L44&gt;[2]Veriler!$D$1,IF(L44&gt;[2]Veriler!$D$2,IF(L44&gt;[2]Veriler!$D$3,IF(L44&gt;[2]Veriler!$D$4,IF(L44&gt;[2]Veriler!$D$5,IF(L44&gt;[2]Veriler!$D$6,IF(L44&gt;[2]Veriler!$D$7,IF(L44&gt;[2]Veriler!$D$8,"ders sorumlusuna başvur",[2]Veriler!$A$8),[2]Veriler!$A$7),[2]Veriler!$A$6),[2]Veriler!$A$5),[2]Veriler!$A$4),[2]Veriler!$A$3),[2]Veriler!$A$2),[2]Veriler!$A$1)</f>
        <v>1</v>
      </c>
      <c r="N44" s="85">
        <v>1</v>
      </c>
      <c r="O44" s="85" t="str">
        <f>VLOOKUP(N44,[2]Veriler!A$1:C$8,2,FALSE)</f>
        <v>5 x Rose</v>
      </c>
      <c r="P44" s="85" t="str">
        <f>IF(I44&lt;VLOOKUP(N44,[2]Veriler!A$1:E$8,5,FALSE)," UYGUNDUR","KESİT AKIMI TAŞIYAMIYOR")</f>
        <v xml:space="preserve"> UYGUNDUR</v>
      </c>
    </row>
    <row r="45" spans="1:16" ht="41.4">
      <c r="A45" s="51">
        <v>65</v>
      </c>
      <c r="B45" s="51">
        <v>65</v>
      </c>
      <c r="C45" s="51">
        <v>37</v>
      </c>
      <c r="D45" s="51">
        <v>0</v>
      </c>
      <c r="E45" s="86">
        <v>45</v>
      </c>
      <c r="F45" s="51">
        <f t="shared" si="4"/>
        <v>0</v>
      </c>
      <c r="G45" s="51">
        <v>0</v>
      </c>
      <c r="H45" s="51">
        <f t="shared" si="5"/>
        <v>0</v>
      </c>
      <c r="I45" s="51"/>
      <c r="J45" s="51"/>
      <c r="K45" s="51"/>
      <c r="L45" s="51"/>
      <c r="M45" s="84">
        <f>IF(L45&gt;[2]Veriler!$D$1,IF(L45&gt;[2]Veriler!$D$2,IF(L45&gt;[2]Veriler!$D$3,IF(L45&gt;[2]Veriler!$D$4,IF(L45&gt;[2]Veriler!$D$5,IF(L45&gt;[2]Veriler!$D$6,IF(L45&gt;[2]Veriler!$D$7,IF(L45&gt;[2]Veriler!$D$8,"ders sorumlusuna başvur",[2]Veriler!$A$8),[2]Veriler!$A$7),[2]Veriler!$A$6),[2]Veriler!$A$5),[2]Veriler!$A$4),[2]Veriler!$A$3),[2]Veriler!$A$2),[2]Veriler!$A$1)</f>
        <v>1</v>
      </c>
      <c r="N45" s="85">
        <v>1</v>
      </c>
      <c r="O45" s="85" t="str">
        <f>VLOOKUP(N45,[2]Veriler!A$1:C$8,2,FALSE)</f>
        <v>5 x Rose</v>
      </c>
      <c r="P45" s="85" t="str">
        <f>IF(I45&lt;VLOOKUP(N45,[2]Veriler!A$1:E$8,5,FALSE)," UYGUNDUR","KESİT AKIMI TAŞIYAMIYOR")</f>
        <v xml:space="preserve"> UYGUNDUR</v>
      </c>
    </row>
    <row r="46" spans="1:16" ht="41.4">
      <c r="A46" s="51">
        <v>66</v>
      </c>
      <c r="B46" s="51">
        <v>66</v>
      </c>
      <c r="C46" s="51">
        <v>37</v>
      </c>
      <c r="D46" s="51">
        <v>0</v>
      </c>
      <c r="E46" s="86">
        <v>45</v>
      </c>
      <c r="F46" s="51">
        <f t="shared" si="4"/>
        <v>0</v>
      </c>
      <c r="G46" s="51">
        <v>0</v>
      </c>
      <c r="H46" s="51">
        <f t="shared" si="5"/>
        <v>0</v>
      </c>
      <c r="I46" s="51"/>
      <c r="J46" s="51"/>
      <c r="K46" s="51"/>
      <c r="L46" s="51"/>
      <c r="M46" s="84">
        <f>IF(L46&gt;[2]Veriler!$D$1,IF(L46&gt;[2]Veriler!$D$2,IF(L46&gt;[2]Veriler!$D$3,IF(L46&gt;[2]Veriler!$D$4,IF(L46&gt;[2]Veriler!$D$5,IF(L46&gt;[2]Veriler!$D$6,IF(L46&gt;[2]Veriler!$D$7,IF(L46&gt;[2]Veriler!$D$8,"ders sorumlusuna başvur",[2]Veriler!$A$8),[2]Veriler!$A$7),[2]Veriler!$A$6),[2]Veriler!$A$5),[2]Veriler!$A$4),[2]Veriler!$A$3),[2]Veriler!$A$2),[2]Veriler!$A$1)</f>
        <v>1</v>
      </c>
      <c r="N46" s="85">
        <v>1</v>
      </c>
      <c r="O46" s="85" t="str">
        <f>VLOOKUP(N46,[2]Veriler!A$1:C$8,2,FALSE)</f>
        <v>5 x Rose</v>
      </c>
      <c r="P46" s="85" t="str">
        <f>IF(I46&lt;VLOOKUP(N46,[2]Veriler!A$1:E$8,5,FALSE)," UYGUNDUR","KESİT AKIMI TAŞIYAMIYOR")</f>
        <v xml:space="preserve"> UYGUNDUR</v>
      </c>
    </row>
    <row r="47" spans="1:16" ht="41.4">
      <c r="A47" s="51">
        <v>67</v>
      </c>
      <c r="B47" s="51">
        <v>67</v>
      </c>
      <c r="C47" s="51">
        <v>37</v>
      </c>
      <c r="D47" s="51">
        <v>0</v>
      </c>
      <c r="E47" s="86">
        <v>45</v>
      </c>
      <c r="F47" s="51">
        <f t="shared" si="4"/>
        <v>0</v>
      </c>
      <c r="G47" s="51">
        <v>0</v>
      </c>
      <c r="H47" s="51">
        <f t="shared" si="5"/>
        <v>0</v>
      </c>
      <c r="I47" s="51"/>
      <c r="J47" s="51"/>
      <c r="K47" s="51"/>
      <c r="L47" s="51"/>
      <c r="M47" s="84">
        <f>IF(L47&gt;[2]Veriler!$D$1,IF(L47&gt;[2]Veriler!$D$2,IF(L47&gt;[2]Veriler!$D$3,IF(L47&gt;[2]Veriler!$D$4,IF(L47&gt;[2]Veriler!$D$5,IF(L47&gt;[2]Veriler!$D$6,IF(L47&gt;[2]Veriler!$D$7,IF(L47&gt;[2]Veriler!$D$8,"ders sorumlusuna başvur",[2]Veriler!$A$8),[2]Veriler!$A$7),[2]Veriler!$A$6),[2]Veriler!$A$5),[2]Veriler!$A$4),[2]Veriler!$A$3),[2]Veriler!$A$2),[2]Veriler!$A$1)</f>
        <v>1</v>
      </c>
      <c r="N47" s="85">
        <v>1</v>
      </c>
      <c r="O47" s="85" t="str">
        <f>VLOOKUP(N47,[2]Veriler!A$1:C$8,2,FALSE)</f>
        <v>5 x Rose</v>
      </c>
      <c r="P47" s="85" t="str">
        <f>IF(I47&lt;VLOOKUP(N47,[2]Veriler!A$1:E$8,5,FALSE)," UYGUNDUR","KESİT AKIMI TAŞIYAMIYOR")</f>
        <v xml:space="preserve"> UYGUNDUR</v>
      </c>
    </row>
    <row r="48" spans="1:16" ht="41.4">
      <c r="A48" s="51">
        <v>68</v>
      </c>
      <c r="B48" s="51">
        <v>68</v>
      </c>
      <c r="C48" s="51">
        <v>37</v>
      </c>
      <c r="D48" s="51">
        <v>0</v>
      </c>
      <c r="E48" s="86">
        <v>45</v>
      </c>
      <c r="F48" s="51">
        <f t="shared" si="4"/>
        <v>0</v>
      </c>
      <c r="G48" s="51">
        <v>0</v>
      </c>
      <c r="H48" s="51">
        <f t="shared" si="5"/>
        <v>0</v>
      </c>
      <c r="I48" s="51"/>
      <c r="J48" s="51"/>
      <c r="K48" s="51"/>
      <c r="L48" s="51"/>
      <c r="M48" s="84">
        <f>IF(L48&gt;[2]Veriler!$D$1,IF(L48&gt;[2]Veriler!$D$2,IF(L48&gt;[2]Veriler!$D$3,IF(L48&gt;[2]Veriler!$D$4,IF(L48&gt;[2]Veriler!$D$5,IF(L48&gt;[2]Veriler!$D$6,IF(L48&gt;[2]Veriler!$D$7,IF(L48&gt;[2]Veriler!$D$8,"ders sorumlusuna başvur",[2]Veriler!$A$8),[2]Veriler!$A$7),[2]Veriler!$A$6),[2]Veriler!$A$5),[2]Veriler!$A$4),[2]Veriler!$A$3),[2]Veriler!$A$2),[2]Veriler!$A$1)</f>
        <v>1</v>
      </c>
      <c r="N48" s="85">
        <v>1</v>
      </c>
      <c r="O48" s="85" t="str">
        <f>VLOOKUP(N48,[2]Veriler!A$1:C$8,2,FALSE)</f>
        <v>5 x Rose</v>
      </c>
      <c r="P48" s="85" t="str">
        <f>IF(I48&lt;VLOOKUP(N48,[2]Veriler!A$1:E$8,5,FALSE)," UYGUNDUR","KESİT AKIMI TAŞIYAMIYOR")</f>
        <v xml:space="preserve"> UYGUNDUR</v>
      </c>
    </row>
    <row r="49" spans="1:16" ht="41.4">
      <c r="A49" s="51">
        <v>69</v>
      </c>
      <c r="B49" s="51">
        <v>69</v>
      </c>
      <c r="C49" s="51">
        <v>37</v>
      </c>
      <c r="D49" s="51">
        <v>0</v>
      </c>
      <c r="E49" s="86">
        <v>45</v>
      </c>
      <c r="F49" s="51">
        <f t="shared" si="4"/>
        <v>0</v>
      </c>
      <c r="G49" s="51">
        <v>0</v>
      </c>
      <c r="H49" s="51">
        <f t="shared" si="5"/>
        <v>0</v>
      </c>
      <c r="I49" s="51"/>
      <c r="J49" s="51"/>
      <c r="K49" s="51"/>
      <c r="L49" s="51"/>
      <c r="M49" s="84">
        <f>IF(L49&gt;[2]Veriler!$D$1,IF(L49&gt;[2]Veriler!$D$2,IF(L49&gt;[2]Veriler!$D$3,IF(L49&gt;[2]Veriler!$D$4,IF(L49&gt;[2]Veriler!$D$5,IF(L49&gt;[2]Veriler!$D$6,IF(L49&gt;[2]Veriler!$D$7,IF(L49&gt;[2]Veriler!$D$8,"ders sorumlusuna başvur",[2]Veriler!$A$8),[2]Veriler!$A$7),[2]Veriler!$A$6),[2]Veriler!$A$5),[2]Veriler!$A$4),[2]Veriler!$A$3),[2]Veriler!$A$2),[2]Veriler!$A$1)</f>
        <v>1</v>
      </c>
      <c r="N49" s="85">
        <v>1</v>
      </c>
      <c r="O49" s="85" t="str">
        <f>VLOOKUP(N49,[2]Veriler!A$1:C$8,2,FALSE)</f>
        <v>5 x Rose</v>
      </c>
      <c r="P49" s="85" t="str">
        <f>IF(I49&lt;VLOOKUP(N49,[2]Veriler!A$1:E$8,5,FALSE)," UYGUNDUR","KESİT AKIMI TAŞIYAMIYOR")</f>
        <v xml:space="preserve"> UYGUNDUR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AutoCAD.Drawing.24" shapeId="1025" r:id="rId3">
          <objectPr defaultSize="0" r:id="rId4">
            <anchor moveWithCells="1">
              <from>
                <xdr:col>0</xdr:col>
                <xdr:colOff>0</xdr:colOff>
                <xdr:row>50</xdr:row>
                <xdr:rowOff>137160</xdr:rowOff>
              </from>
              <to>
                <xdr:col>17</xdr:col>
                <xdr:colOff>281940</xdr:colOff>
                <xdr:row>87</xdr:row>
                <xdr:rowOff>106680</xdr:rowOff>
              </to>
            </anchor>
          </objectPr>
        </oleObject>
      </mc:Choice>
      <mc:Fallback>
        <oleObject progId="AutoCAD.Drawing.24" shapeId="1025" r:id="rId3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J9" sqref="J9"/>
    </sheetView>
  </sheetViews>
  <sheetFormatPr defaultRowHeight="13.8"/>
  <sheetData>
    <row r="1" spans="1:15" ht="26.4">
      <c r="A1" s="87" t="s">
        <v>65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spans="1:15" ht="86.4">
      <c r="A2" s="89" t="s">
        <v>66</v>
      </c>
      <c r="B2" s="90"/>
      <c r="C2" s="91">
        <v>17.5</v>
      </c>
      <c r="D2" s="91"/>
      <c r="E2" s="91">
        <v>100</v>
      </c>
      <c r="F2" s="91"/>
      <c r="G2" s="91">
        <v>175.5</v>
      </c>
      <c r="H2" s="91"/>
      <c r="I2" s="91">
        <v>129.5</v>
      </c>
      <c r="J2" s="91"/>
      <c r="K2" s="92">
        <v>122.5</v>
      </c>
      <c r="L2" s="93"/>
      <c r="M2" s="91">
        <v>129.5</v>
      </c>
      <c r="N2" s="91"/>
      <c r="O2" s="62">
        <v>69.5</v>
      </c>
    </row>
    <row r="3" spans="1:15" ht="14.4">
      <c r="A3" s="94" t="s">
        <v>67</v>
      </c>
      <c r="B3" s="91">
        <f t="shared" ref="B3" si="0">D3+C2</f>
        <v>744</v>
      </c>
      <c r="C3" s="91"/>
      <c r="D3" s="91">
        <f t="shared" ref="D3" si="1">F3+E2</f>
        <v>726.5</v>
      </c>
      <c r="E3" s="91"/>
      <c r="F3" s="91">
        <f t="shared" ref="F3" si="2">H3+G2</f>
        <v>626.5</v>
      </c>
      <c r="G3" s="91"/>
      <c r="H3" s="91">
        <f t="shared" ref="H3" si="3">J3+I2</f>
        <v>451</v>
      </c>
      <c r="I3" s="91"/>
      <c r="J3" s="91">
        <f t="shared" ref="J3" si="4">L3+K2</f>
        <v>321.5</v>
      </c>
      <c r="K3" s="91"/>
      <c r="L3" s="91">
        <f>N3+M2</f>
        <v>199</v>
      </c>
      <c r="M3" s="91"/>
      <c r="N3" s="91">
        <v>69.5</v>
      </c>
      <c r="O3" s="91"/>
    </row>
    <row r="4" spans="1:15" ht="14.4">
      <c r="A4" s="94" t="s">
        <v>68</v>
      </c>
      <c r="B4" s="91">
        <v>45</v>
      </c>
      <c r="C4" s="91"/>
      <c r="D4" s="91">
        <v>45</v>
      </c>
      <c r="E4" s="91"/>
      <c r="F4" s="91">
        <v>45</v>
      </c>
      <c r="G4" s="91"/>
      <c r="H4" s="91">
        <v>45</v>
      </c>
      <c r="I4" s="91"/>
      <c r="J4" s="91">
        <v>45</v>
      </c>
      <c r="K4" s="91"/>
      <c r="L4" s="91">
        <v>45</v>
      </c>
      <c r="M4" s="91"/>
      <c r="N4" s="91">
        <v>45</v>
      </c>
      <c r="O4" s="91"/>
    </row>
    <row r="5" spans="1:15" ht="14.4">
      <c r="A5" s="94" t="s">
        <v>69</v>
      </c>
      <c r="B5" s="91">
        <v>7.75</v>
      </c>
      <c r="C5" s="91"/>
      <c r="D5" s="91">
        <v>1.84</v>
      </c>
      <c r="E5" s="91"/>
      <c r="F5" s="91">
        <v>1.84</v>
      </c>
      <c r="G5" s="91"/>
      <c r="H5" s="91">
        <v>7.42</v>
      </c>
      <c r="I5" s="91"/>
      <c r="J5" s="91">
        <v>9.36</v>
      </c>
      <c r="K5" s="91"/>
      <c r="L5" s="91">
        <v>9.36</v>
      </c>
      <c r="M5" s="91"/>
      <c r="N5" s="91">
        <v>9.36</v>
      </c>
      <c r="O5" s="91"/>
    </row>
    <row r="6" spans="1:15" ht="14.4">
      <c r="A6" s="94" t="s">
        <v>70</v>
      </c>
      <c r="B6" s="91">
        <f>B5*B4*B3*10^-7*10</f>
        <v>0.25946999999999998</v>
      </c>
      <c r="C6" s="91"/>
      <c r="D6" s="91">
        <f>D5*D4*D3*10^-7*35</f>
        <v>0.2105397</v>
      </c>
      <c r="E6" s="91"/>
      <c r="F6" s="91">
        <f>F5*F4*F3*10^-7*145</f>
        <v>0.75217590000000001</v>
      </c>
      <c r="G6" s="91"/>
      <c r="H6" s="91">
        <f>H5*H4*H3*10^-7*14</f>
        <v>0.21082445999999999</v>
      </c>
      <c r="I6" s="91"/>
      <c r="J6" s="91">
        <f>J5*J4*J3*10^-7*85</f>
        <v>1.1510342999999998</v>
      </c>
      <c r="K6" s="91"/>
      <c r="L6" s="91">
        <f>L5*L4*L3*10^-7*40</f>
        <v>0.3352752</v>
      </c>
      <c r="M6" s="91"/>
      <c r="N6" s="91">
        <f>N5*N4*N3*10^-7*139</f>
        <v>0.40690025999999996</v>
      </c>
      <c r="O6" s="91"/>
    </row>
    <row r="7" spans="1:15" s="74" customFormat="1" ht="14.4">
      <c r="A7" s="94"/>
      <c r="B7" s="88" t="s">
        <v>71</v>
      </c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</row>
  </sheetData>
  <mergeCells count="36">
    <mergeCell ref="B7:O7"/>
    <mergeCell ref="N5:O5"/>
    <mergeCell ref="B6:C6"/>
    <mergeCell ref="D6:E6"/>
    <mergeCell ref="F6:G6"/>
    <mergeCell ref="H6:I6"/>
    <mergeCell ref="J6:K6"/>
    <mergeCell ref="L6:M6"/>
    <mergeCell ref="N6:O6"/>
    <mergeCell ref="B5:C5"/>
    <mergeCell ref="D5:E5"/>
    <mergeCell ref="F5:G5"/>
    <mergeCell ref="H5:I5"/>
    <mergeCell ref="J5:K5"/>
    <mergeCell ref="L5:M5"/>
    <mergeCell ref="N3:O3"/>
    <mergeCell ref="B4:C4"/>
    <mergeCell ref="D4:E4"/>
    <mergeCell ref="F4:G4"/>
    <mergeCell ref="H4:I4"/>
    <mergeCell ref="J4:K4"/>
    <mergeCell ref="L4:M4"/>
    <mergeCell ref="N4:O4"/>
    <mergeCell ref="B3:C3"/>
    <mergeCell ref="D3:E3"/>
    <mergeCell ref="F3:G3"/>
    <mergeCell ref="H3:I3"/>
    <mergeCell ref="J3:K3"/>
    <mergeCell ref="L3:M3"/>
    <mergeCell ref="B1:O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abSelected="1" workbookViewId="0">
      <selection activeCell="B4" sqref="B4"/>
    </sheetView>
  </sheetViews>
  <sheetFormatPr defaultRowHeight="13.8"/>
  <sheetData>
    <row r="1" spans="1:21" ht="26.4">
      <c r="A1" s="119" t="s">
        <v>65</v>
      </c>
      <c r="B1" s="117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</row>
    <row r="2" spans="1:21" ht="82.8">
      <c r="A2" s="120" t="s">
        <v>66</v>
      </c>
      <c r="B2" s="118">
        <v>125</v>
      </c>
      <c r="C2" s="118">
        <v>1875</v>
      </c>
      <c r="D2" s="118">
        <v>1000</v>
      </c>
      <c r="E2" s="118">
        <v>125</v>
      </c>
      <c r="F2" s="118">
        <v>125</v>
      </c>
      <c r="G2" s="118">
        <v>125</v>
      </c>
      <c r="H2" s="118">
        <v>125</v>
      </c>
      <c r="I2" s="118">
        <v>125</v>
      </c>
      <c r="J2" s="118">
        <v>125</v>
      </c>
      <c r="K2" s="118">
        <v>125</v>
      </c>
      <c r="L2" s="118">
        <v>125</v>
      </c>
      <c r="M2" s="118">
        <v>125</v>
      </c>
      <c r="N2" s="118">
        <v>125</v>
      </c>
      <c r="O2" s="118">
        <v>125</v>
      </c>
      <c r="P2" s="118">
        <v>125</v>
      </c>
      <c r="Q2" s="118">
        <v>125</v>
      </c>
      <c r="R2" s="118">
        <v>125</v>
      </c>
      <c r="S2" s="118">
        <v>125</v>
      </c>
      <c r="T2" s="118">
        <v>125</v>
      </c>
      <c r="U2" s="118">
        <v>125</v>
      </c>
    </row>
    <row r="3" spans="1:21">
      <c r="A3" s="121" t="s">
        <v>67</v>
      </c>
      <c r="B3" s="123">
        <v>6125</v>
      </c>
      <c r="C3" s="123">
        <v>6000</v>
      </c>
      <c r="D3" s="123">
        <v>4125</v>
      </c>
      <c r="E3" s="123">
        <v>3125</v>
      </c>
      <c r="F3" s="123">
        <v>2000</v>
      </c>
      <c r="G3" s="123">
        <v>1875</v>
      </c>
      <c r="H3" s="123">
        <v>1750</v>
      </c>
      <c r="I3" s="123">
        <v>1625</v>
      </c>
      <c r="J3" s="123">
        <v>1500</v>
      </c>
      <c r="K3" s="123">
        <v>1375</v>
      </c>
      <c r="L3" s="123">
        <v>1250</v>
      </c>
      <c r="M3" s="123">
        <v>1125</v>
      </c>
      <c r="N3" s="123">
        <v>1000</v>
      </c>
      <c r="O3" s="118">
        <v>875</v>
      </c>
      <c r="P3" s="118">
        <v>750</v>
      </c>
      <c r="Q3" s="118">
        <v>625</v>
      </c>
      <c r="R3" s="118">
        <v>500</v>
      </c>
      <c r="S3" s="118">
        <v>375</v>
      </c>
      <c r="T3" s="118">
        <v>250</v>
      </c>
      <c r="U3" s="118">
        <v>125</v>
      </c>
    </row>
    <row r="4" spans="1:21">
      <c r="A4" s="121" t="s">
        <v>79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22"/>
      <c r="P4" s="122"/>
      <c r="Q4" s="122"/>
      <c r="R4" s="122"/>
      <c r="S4" s="122"/>
      <c r="T4" s="122"/>
      <c r="U4" s="122"/>
    </row>
    <row r="5" spans="1:21">
      <c r="A5" s="121" t="s">
        <v>70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22"/>
      <c r="P5" s="122"/>
      <c r="Q5" s="122"/>
      <c r="R5" s="122"/>
      <c r="S5" s="122"/>
      <c r="T5" s="122"/>
      <c r="U5" s="122"/>
    </row>
    <row r="6" spans="1:21">
      <c r="A6" s="121"/>
      <c r="B6" s="110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8"/>
    </row>
  </sheetData>
  <mergeCells count="2">
    <mergeCell ref="B1:U1"/>
    <mergeCell ref="B6:U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selection activeCell="G32" sqref="G32"/>
    </sheetView>
  </sheetViews>
  <sheetFormatPr defaultRowHeight="13.8"/>
  <cols>
    <col min="1" max="1" width="14.296875" customWidth="1"/>
    <col min="2" max="2" width="12.3984375" customWidth="1"/>
    <col min="3" max="3" width="11.5" customWidth="1"/>
    <col min="4" max="4" width="11.8984375" customWidth="1"/>
    <col min="5" max="5" width="13.09765625" customWidth="1"/>
    <col min="6" max="6" width="12.19921875" customWidth="1"/>
    <col min="7" max="7" width="16.19921875" customWidth="1"/>
  </cols>
  <sheetData>
    <row r="1" spans="1:8" ht="41.4">
      <c r="A1" s="107" t="s">
        <v>9</v>
      </c>
      <c r="B1" s="107" t="s">
        <v>10</v>
      </c>
      <c r="C1" s="107" t="s">
        <v>11</v>
      </c>
      <c r="D1" s="107" t="s">
        <v>12</v>
      </c>
      <c r="E1" s="107" t="s">
        <v>13</v>
      </c>
      <c r="F1" s="107" t="s">
        <v>14</v>
      </c>
      <c r="G1" s="107" t="s">
        <v>15</v>
      </c>
      <c r="H1" s="107"/>
    </row>
    <row r="2" spans="1:8">
      <c r="A2" s="107"/>
      <c r="B2" s="107"/>
      <c r="C2" s="107"/>
      <c r="D2" s="107"/>
      <c r="E2" s="107"/>
      <c r="F2" s="107"/>
      <c r="G2" s="107"/>
      <c r="H2" s="107"/>
    </row>
    <row r="3" spans="1:8" ht="41.4">
      <c r="A3" s="107">
        <v>3333.4001495929188</v>
      </c>
      <c r="B3" s="107">
        <v>28712.434138516375</v>
      </c>
      <c r="C3" s="107">
        <v>102.54440763755848</v>
      </c>
      <c r="D3" s="107">
        <v>8</v>
      </c>
      <c r="E3" s="107">
        <v>8</v>
      </c>
      <c r="F3" s="107" t="s">
        <v>47</v>
      </c>
      <c r="G3" s="107" t="s">
        <v>27</v>
      </c>
      <c r="H3" s="107"/>
    </row>
    <row r="4" spans="1:8" ht="41.4">
      <c r="A4" s="107">
        <v>3082.1388317844071</v>
      </c>
      <c r="B4" s="107">
        <v>25379.033988923456</v>
      </c>
      <c r="C4" s="107">
        <v>90.639407103298055</v>
      </c>
      <c r="D4" s="107">
        <v>8</v>
      </c>
      <c r="E4" s="107">
        <v>8</v>
      </c>
      <c r="F4" s="107" t="s">
        <v>47</v>
      </c>
      <c r="G4" s="107" t="s">
        <v>27</v>
      </c>
      <c r="H4" s="107"/>
    </row>
    <row r="5" spans="1:8" ht="41.4">
      <c r="A5" s="107">
        <v>2830.8775139758955</v>
      </c>
      <c r="B5" s="107">
        <v>22296.89515713905</v>
      </c>
      <c r="C5" s="107">
        <v>79.631768418353744</v>
      </c>
      <c r="D5" s="107">
        <v>7</v>
      </c>
      <c r="E5" s="107">
        <v>8</v>
      </c>
      <c r="F5" s="107" t="s">
        <v>47</v>
      </c>
      <c r="G5" s="107" t="s">
        <v>27</v>
      </c>
      <c r="H5" s="107"/>
    </row>
    <row r="6" spans="1:8" ht="41.4">
      <c r="A6" s="107">
        <v>2579.6161961673843</v>
      </c>
      <c r="B6" s="107">
        <v>19466.017643163155</v>
      </c>
      <c r="C6" s="107">
        <v>69.52149158272556</v>
      </c>
      <c r="D6" s="107">
        <v>7</v>
      </c>
      <c r="E6" s="107">
        <v>8</v>
      </c>
      <c r="F6" s="107" t="s">
        <v>47</v>
      </c>
      <c r="G6" s="107" t="s">
        <v>27</v>
      </c>
      <c r="H6" s="107"/>
    </row>
    <row r="7" spans="1:8" ht="41.4">
      <c r="A7" s="107">
        <v>2640.4658758543433</v>
      </c>
      <c r="B7" s="107">
        <v>16886.401446995773</v>
      </c>
      <c r="C7" s="107">
        <v>60.308576596413474</v>
      </c>
      <c r="D7" s="107">
        <v>6</v>
      </c>
      <c r="E7" s="107">
        <v>8</v>
      </c>
      <c r="F7" s="107" t="s">
        <v>47</v>
      </c>
      <c r="G7" s="107" t="s">
        <v>27</v>
      </c>
      <c r="H7" s="107"/>
    </row>
    <row r="8" spans="1:8" ht="41.4">
      <c r="A8" s="107">
        <v>957.7329360167696</v>
      </c>
      <c r="B8" s="107">
        <v>14245.93557114143</v>
      </c>
      <c r="C8" s="107">
        <v>50.878341325505104</v>
      </c>
      <c r="D8" s="107">
        <v>5</v>
      </c>
      <c r="E8" s="107">
        <v>1</v>
      </c>
      <c r="F8" s="107" t="s">
        <v>28</v>
      </c>
      <c r="G8" s="107" t="s">
        <v>27</v>
      </c>
      <c r="H8" s="107"/>
    </row>
    <row r="9" spans="1:8" ht="41.4">
      <c r="A9" s="107">
        <v>2241.1825844253076</v>
      </c>
      <c r="B9" s="107">
        <v>13288.20263512466</v>
      </c>
      <c r="C9" s="107">
        <v>47.457866554016647</v>
      </c>
      <c r="D9" s="107">
        <v>5</v>
      </c>
      <c r="E9" s="107">
        <v>2</v>
      </c>
      <c r="F9" s="107" t="s">
        <v>36</v>
      </c>
      <c r="G9" s="107" t="s">
        <v>27</v>
      </c>
      <c r="H9" s="107"/>
    </row>
    <row r="10" spans="1:8" ht="41.4">
      <c r="A10" s="107">
        <v>2022.3972192587125</v>
      </c>
      <c r="B10" s="107">
        <v>11047.020050699353</v>
      </c>
      <c r="C10" s="107">
        <v>39.453643038211979</v>
      </c>
      <c r="D10" s="107">
        <v>4</v>
      </c>
      <c r="E10" s="107">
        <v>1</v>
      </c>
      <c r="F10" s="107" t="s">
        <v>28</v>
      </c>
      <c r="G10" s="107" t="s">
        <v>27</v>
      </c>
      <c r="H10" s="107"/>
    </row>
    <row r="11" spans="1:8" ht="41.4">
      <c r="A11" s="107">
        <v>669.55158783639536</v>
      </c>
      <c r="B11" s="107">
        <v>9024.6228314406417</v>
      </c>
      <c r="C11" s="107">
        <v>32.230795826573718</v>
      </c>
      <c r="D11" s="107">
        <v>3</v>
      </c>
      <c r="E11" s="107">
        <v>2</v>
      </c>
      <c r="F11" s="107" t="s">
        <v>36</v>
      </c>
      <c r="G11" s="107" t="s">
        <v>27</v>
      </c>
      <c r="H11" s="107"/>
    </row>
    <row r="12" spans="1:8" ht="41.4">
      <c r="A12" s="107">
        <v>1642.2576472817539</v>
      </c>
      <c r="B12" s="107">
        <v>8355.0712436042468</v>
      </c>
      <c r="C12" s="107">
        <v>29.839540155729452</v>
      </c>
      <c r="D12" s="107">
        <v>3</v>
      </c>
      <c r="E12" s="107">
        <v>1</v>
      </c>
      <c r="F12" s="107" t="s">
        <v>28</v>
      </c>
      <c r="G12" s="107" t="s">
        <v>27</v>
      </c>
      <c r="H12" s="107"/>
    </row>
    <row r="13" spans="1:8" ht="41.4">
      <c r="A13" s="107">
        <v>1409.7981967922467</v>
      </c>
      <c r="B13" s="107">
        <v>6712.8135963224922</v>
      </c>
      <c r="C13" s="107">
        <v>23.974334272580329</v>
      </c>
      <c r="D13" s="107">
        <v>2</v>
      </c>
      <c r="E13" s="107">
        <v>1</v>
      </c>
      <c r="F13" s="107" t="s">
        <v>28</v>
      </c>
      <c r="G13" s="107" t="s">
        <v>27</v>
      </c>
      <c r="H13" s="107"/>
    </row>
    <row r="14" spans="1:8" ht="41.4">
      <c r="A14" s="107">
        <v>1286.7314288860371</v>
      </c>
      <c r="B14" s="107">
        <v>5303.0153995302453</v>
      </c>
      <c r="C14" s="107">
        <v>18.939340712608018</v>
      </c>
      <c r="D14" s="107">
        <v>1</v>
      </c>
      <c r="E14" s="107">
        <v>1</v>
      </c>
      <c r="F14" s="107" t="s">
        <v>28</v>
      </c>
      <c r="G14" s="107" t="s">
        <v>27</v>
      </c>
      <c r="H14" s="107"/>
    </row>
    <row r="15" spans="1:8" ht="41.4">
      <c r="A15" s="107">
        <v>1170.6726297078199</v>
      </c>
      <c r="B15" s="107">
        <v>4016.2839706442082</v>
      </c>
      <c r="C15" s="107">
        <v>14.343871323729315</v>
      </c>
      <c r="D15" s="107">
        <v>1</v>
      </c>
      <c r="E15" s="107">
        <v>1</v>
      </c>
      <c r="F15" s="107" t="s">
        <v>28</v>
      </c>
      <c r="G15" s="107" t="s">
        <v>27</v>
      </c>
      <c r="H15" s="107"/>
    </row>
    <row r="16" spans="1:8" ht="41.4">
      <c r="A16" s="107">
        <v>404.06922129205526</v>
      </c>
      <c r="B16" s="107">
        <v>2845.6113409363884</v>
      </c>
      <c r="C16" s="107">
        <v>10.162897646201387</v>
      </c>
      <c r="D16" s="107">
        <v>1</v>
      </c>
      <c r="E16" s="107">
        <v>1</v>
      </c>
      <c r="F16" s="107" t="s">
        <v>28</v>
      </c>
      <c r="G16" s="107" t="s">
        <v>27</v>
      </c>
      <c r="H16" s="107"/>
    </row>
    <row r="17" spans="1:8" ht="41.4">
      <c r="A17" s="107">
        <v>644.04941870916423</v>
      </c>
      <c r="B17" s="107">
        <v>2441.5421196443331</v>
      </c>
      <c r="C17" s="107">
        <v>8.7197932844440462</v>
      </c>
      <c r="D17" s="107">
        <v>1</v>
      </c>
      <c r="E17" s="107">
        <v>1</v>
      </c>
      <c r="F17" s="107" t="s">
        <v>28</v>
      </c>
      <c r="G17" s="107" t="s">
        <v>27</v>
      </c>
      <c r="H17" s="107"/>
    </row>
    <row r="18" spans="1:8" ht="41.4">
      <c r="A18" s="107">
        <v>534.6567361258667</v>
      </c>
      <c r="B18" s="107">
        <v>1797.4927009351686</v>
      </c>
      <c r="C18" s="107">
        <v>6.4196167890541735</v>
      </c>
      <c r="D18" s="107">
        <v>1</v>
      </c>
      <c r="E18" s="107">
        <v>1</v>
      </c>
      <c r="F18" s="107" t="s">
        <v>28</v>
      </c>
      <c r="G18" s="107" t="s">
        <v>27</v>
      </c>
      <c r="H18" s="107"/>
    </row>
    <row r="19" spans="1:8" ht="41.4">
      <c r="A19" s="107">
        <v>112.81120391402558</v>
      </c>
      <c r="B19" s="107">
        <v>1262.8359648093019</v>
      </c>
      <c r="C19" s="107">
        <v>4.5101284457475073</v>
      </c>
      <c r="D19" s="107">
        <v>1</v>
      </c>
      <c r="E19" s="107">
        <v>1</v>
      </c>
      <c r="F19" s="107" t="s">
        <v>28</v>
      </c>
      <c r="G19" s="107" t="s">
        <v>27</v>
      </c>
      <c r="H19" s="107"/>
    </row>
    <row r="20" spans="1:8" ht="41.4">
      <c r="A20" s="107">
        <v>380.1395719769589</v>
      </c>
      <c r="B20" s="107">
        <v>1150.0247608952764</v>
      </c>
      <c r="C20" s="107">
        <v>4.1072312889117013</v>
      </c>
      <c r="D20" s="107">
        <v>1</v>
      </c>
      <c r="E20" s="107">
        <v>1</v>
      </c>
      <c r="F20" s="107" t="s">
        <v>28</v>
      </c>
      <c r="G20" s="107" t="s">
        <v>27</v>
      </c>
      <c r="H20" s="107"/>
    </row>
    <row r="21" spans="1:8" ht="41.4">
      <c r="A21" s="107">
        <v>325.44323068531014</v>
      </c>
      <c r="B21" s="107">
        <v>769.88518891831734</v>
      </c>
      <c r="C21" s="107">
        <v>2.7495899604225618</v>
      </c>
      <c r="D21" s="107">
        <v>1</v>
      </c>
      <c r="E21" s="107">
        <v>1</v>
      </c>
      <c r="F21" s="107" t="s">
        <v>28</v>
      </c>
      <c r="G21" s="107" t="s">
        <v>27</v>
      </c>
      <c r="H21" s="107"/>
    </row>
    <row r="22" spans="1:8" ht="41.4">
      <c r="A22" s="107">
        <v>116.26391045806091</v>
      </c>
      <c r="B22" s="107">
        <v>444.4419582330072</v>
      </c>
      <c r="C22" s="107">
        <v>1.5872927079750256</v>
      </c>
      <c r="D22" s="107">
        <v>1</v>
      </c>
      <c r="E22" s="107">
        <v>1</v>
      </c>
      <c r="F22" s="107" t="s">
        <v>28</v>
      </c>
      <c r="G22" s="107" t="s">
        <v>27</v>
      </c>
      <c r="H22" s="107"/>
    </row>
    <row r="23" spans="1:8" ht="41.4">
      <c r="A23" s="107">
        <v>164.08902387494629</v>
      </c>
      <c r="B23" s="107">
        <v>328.17804777494632</v>
      </c>
      <c r="C23" s="107">
        <v>1.1720644563390941</v>
      </c>
      <c r="D23" s="107">
        <v>1</v>
      </c>
      <c r="E23" s="107">
        <v>1</v>
      </c>
      <c r="F23" s="107" t="s">
        <v>28</v>
      </c>
      <c r="G23" s="107" t="s">
        <v>27</v>
      </c>
      <c r="H23" s="107"/>
    </row>
    <row r="24" spans="1:8" ht="41.4">
      <c r="A24" s="107">
        <v>54.696341291648764</v>
      </c>
      <c r="B24" s="107">
        <v>164.0890239</v>
      </c>
      <c r="C24" s="107">
        <v>0.58603222821428569</v>
      </c>
      <c r="D24" s="107">
        <v>1</v>
      </c>
      <c r="E24" s="107">
        <v>1</v>
      </c>
      <c r="F24" s="107" t="s">
        <v>28</v>
      </c>
      <c r="G24" s="107" t="s">
        <v>27</v>
      </c>
      <c r="H24" s="107"/>
    </row>
    <row r="25" spans="1:8" ht="41.4">
      <c r="A25" s="107"/>
      <c r="B25" s="107"/>
      <c r="C25" s="107"/>
      <c r="D25" s="107">
        <v>1</v>
      </c>
      <c r="E25" s="107">
        <v>1</v>
      </c>
      <c r="F25" s="107" t="s">
        <v>28</v>
      </c>
      <c r="G25" s="107" t="s">
        <v>27</v>
      </c>
      <c r="H25" s="107"/>
    </row>
    <row r="26" spans="1:8" ht="41.4">
      <c r="A26" s="107"/>
      <c r="B26" s="107"/>
      <c r="C26" s="107"/>
      <c r="D26" s="107">
        <v>1</v>
      </c>
      <c r="E26" s="107">
        <v>1</v>
      </c>
      <c r="F26" s="107" t="s">
        <v>28</v>
      </c>
      <c r="G26" s="107" t="s">
        <v>27</v>
      </c>
      <c r="H26" s="107"/>
    </row>
    <row r="27" spans="1:8" ht="41.4">
      <c r="A27" s="107"/>
      <c r="B27" s="107"/>
      <c r="C27" s="107"/>
      <c r="D27" s="107">
        <v>1</v>
      </c>
      <c r="E27" s="107">
        <v>2</v>
      </c>
      <c r="F27" s="107" t="s">
        <v>36</v>
      </c>
      <c r="G27" s="107" t="s">
        <v>27</v>
      </c>
      <c r="H27" s="107"/>
    </row>
    <row r="28" spans="1:8" ht="41.4">
      <c r="A28" s="107"/>
      <c r="B28" s="107"/>
      <c r="C28" s="107"/>
      <c r="D28" s="107">
        <v>1</v>
      </c>
      <c r="E28" s="107">
        <v>1</v>
      </c>
      <c r="F28" s="107" t="s">
        <v>28</v>
      </c>
      <c r="G28" s="107" t="s">
        <v>27</v>
      </c>
      <c r="H28" s="107"/>
    </row>
    <row r="29" spans="1:8" ht="41.4">
      <c r="A29" s="107"/>
      <c r="B29" s="107"/>
      <c r="C29" s="107"/>
      <c r="D29" s="107">
        <v>1</v>
      </c>
      <c r="E29" s="107">
        <v>1</v>
      </c>
      <c r="F29" s="107" t="s">
        <v>28</v>
      </c>
      <c r="G29" s="107" t="s">
        <v>27</v>
      </c>
      <c r="H29" s="107"/>
    </row>
    <row r="30" spans="1:8" ht="41.4">
      <c r="A30" s="107"/>
      <c r="B30" s="107"/>
      <c r="C30" s="107"/>
      <c r="D30" s="107">
        <v>1</v>
      </c>
      <c r="E30" s="107">
        <v>1</v>
      </c>
      <c r="F30" s="107" t="s">
        <v>28</v>
      </c>
      <c r="G30" s="107" t="s">
        <v>27</v>
      </c>
      <c r="H30" s="107"/>
    </row>
    <row r="31" spans="1:8" ht="41.4">
      <c r="A31" s="107"/>
      <c r="B31" s="107"/>
      <c r="C31" s="107"/>
      <c r="D31" s="107">
        <v>1</v>
      </c>
      <c r="E31" s="107">
        <v>1</v>
      </c>
      <c r="F31" s="107" t="s">
        <v>28</v>
      </c>
      <c r="G31" s="107" t="s">
        <v>27</v>
      </c>
      <c r="H31" s="107"/>
    </row>
    <row r="32" spans="1:8" ht="41.4">
      <c r="A32" s="107"/>
      <c r="B32" s="107"/>
      <c r="C32" s="107"/>
      <c r="D32" s="107">
        <v>1</v>
      </c>
      <c r="E32" s="107">
        <v>1</v>
      </c>
      <c r="F32" s="107" t="s">
        <v>28</v>
      </c>
      <c r="G32" s="107" t="s">
        <v>27</v>
      </c>
      <c r="H32" s="107"/>
    </row>
    <row r="33" spans="1:8" ht="41.4">
      <c r="A33" s="107"/>
      <c r="B33" s="107"/>
      <c r="C33" s="107"/>
      <c r="D33" s="107">
        <v>1</v>
      </c>
      <c r="E33" s="107">
        <v>1</v>
      </c>
      <c r="F33" s="107" t="s">
        <v>28</v>
      </c>
      <c r="G33" s="107" t="s">
        <v>27</v>
      </c>
      <c r="H33" s="107"/>
    </row>
    <row r="34" spans="1:8" ht="41.4">
      <c r="A34" s="107"/>
      <c r="B34" s="107"/>
      <c r="C34" s="107"/>
      <c r="D34" s="107">
        <v>1</v>
      </c>
      <c r="E34" s="107">
        <v>1</v>
      </c>
      <c r="F34" s="107" t="s">
        <v>28</v>
      </c>
      <c r="G34" s="107" t="s">
        <v>27</v>
      </c>
      <c r="H34" s="107"/>
    </row>
    <row r="35" spans="1:8" ht="41.4">
      <c r="A35" s="107"/>
      <c r="B35" s="107"/>
      <c r="C35" s="107"/>
      <c r="D35" s="107">
        <v>1</v>
      </c>
      <c r="E35" s="107">
        <v>1</v>
      </c>
      <c r="F35" s="107" t="s">
        <v>28</v>
      </c>
      <c r="G35" s="107" t="s">
        <v>27</v>
      </c>
      <c r="H35" s="107"/>
    </row>
    <row r="36" spans="1:8" ht="41.4">
      <c r="A36" s="107"/>
      <c r="B36" s="107"/>
      <c r="C36" s="107"/>
      <c r="D36" s="107">
        <v>1</v>
      </c>
      <c r="E36" s="107">
        <v>1</v>
      </c>
      <c r="F36" s="107" t="s">
        <v>28</v>
      </c>
      <c r="G36" s="107" t="s">
        <v>27</v>
      </c>
      <c r="H36" s="107"/>
    </row>
    <row r="37" spans="1:8" ht="41.4">
      <c r="A37" s="107"/>
      <c r="B37" s="107"/>
      <c r="C37" s="107"/>
      <c r="D37" s="107">
        <v>1</v>
      </c>
      <c r="E37" s="107">
        <v>1</v>
      </c>
      <c r="F37" s="107" t="s">
        <v>28</v>
      </c>
      <c r="G37" s="107" t="s">
        <v>27</v>
      </c>
      <c r="H37" s="107"/>
    </row>
    <row r="38" spans="1:8" ht="41.4">
      <c r="A38" s="107"/>
      <c r="B38" s="107"/>
      <c r="C38" s="107"/>
      <c r="D38" s="107">
        <v>1</v>
      </c>
      <c r="E38" s="107">
        <v>1</v>
      </c>
      <c r="F38" s="107" t="s">
        <v>28</v>
      </c>
      <c r="G38" s="107" t="s">
        <v>27</v>
      </c>
      <c r="H38" s="107"/>
    </row>
    <row r="39" spans="1:8" ht="41.4">
      <c r="A39" s="107"/>
      <c r="B39" s="107"/>
      <c r="C39" s="107"/>
      <c r="D39" s="107">
        <v>1</v>
      </c>
      <c r="E39" s="107">
        <v>1</v>
      </c>
      <c r="F39" s="107" t="s">
        <v>28</v>
      </c>
      <c r="G39" s="107" t="s">
        <v>27</v>
      </c>
      <c r="H39" s="107"/>
    </row>
    <row r="40" spans="1:8" ht="41.4">
      <c r="A40" s="107"/>
      <c r="B40" s="107"/>
      <c r="C40" s="107"/>
      <c r="D40" s="107">
        <v>1</v>
      </c>
      <c r="E40" s="107">
        <v>1</v>
      </c>
      <c r="F40" s="107" t="s">
        <v>28</v>
      </c>
      <c r="G40" s="107" t="s">
        <v>27</v>
      </c>
      <c r="H40" s="107"/>
    </row>
    <row r="41" spans="1:8" ht="41.4">
      <c r="A41" s="107"/>
      <c r="B41" s="107"/>
      <c r="C41" s="107"/>
      <c r="D41" s="107">
        <v>1</v>
      </c>
      <c r="E41" s="107">
        <v>1</v>
      </c>
      <c r="F41" s="107" t="s">
        <v>28</v>
      </c>
      <c r="G41" s="107" t="s">
        <v>27</v>
      </c>
      <c r="H41" s="107"/>
    </row>
    <row r="42" spans="1:8" ht="41.4">
      <c r="A42" s="107"/>
      <c r="B42" s="107"/>
      <c r="C42" s="107"/>
      <c r="D42" s="107">
        <v>1</v>
      </c>
      <c r="E42" s="107">
        <v>1</v>
      </c>
      <c r="F42" s="107" t="s">
        <v>28</v>
      </c>
      <c r="G42" s="107" t="s">
        <v>27</v>
      </c>
      <c r="H42" s="107"/>
    </row>
    <row r="43" spans="1:8" ht="41.4">
      <c r="A43" s="107"/>
      <c r="B43" s="107"/>
      <c r="C43" s="107"/>
      <c r="D43" s="107">
        <v>1</v>
      </c>
      <c r="E43" s="107">
        <v>2</v>
      </c>
      <c r="F43" s="107" t="s">
        <v>36</v>
      </c>
      <c r="G43" s="107" t="s">
        <v>27</v>
      </c>
      <c r="H43" s="107"/>
    </row>
    <row r="44" spans="1:8" ht="41.4">
      <c r="A44" s="107"/>
      <c r="B44" s="107"/>
      <c r="C44" s="107"/>
      <c r="D44" s="107">
        <v>1</v>
      </c>
      <c r="E44" s="107">
        <v>1</v>
      </c>
      <c r="F44" s="107" t="s">
        <v>28</v>
      </c>
      <c r="G44" s="107" t="s">
        <v>27</v>
      </c>
      <c r="H44" s="107"/>
    </row>
    <row r="45" spans="1:8" ht="41.4">
      <c r="A45" s="107"/>
      <c r="B45" s="107"/>
      <c r="C45" s="107"/>
      <c r="D45" s="107">
        <v>1</v>
      </c>
      <c r="E45" s="107">
        <v>1</v>
      </c>
      <c r="F45" s="107" t="s">
        <v>28</v>
      </c>
      <c r="G45" s="107" t="s">
        <v>27</v>
      </c>
      <c r="H45" s="107"/>
    </row>
    <row r="46" spans="1:8" ht="41.4">
      <c r="A46" s="107"/>
      <c r="B46" s="107"/>
      <c r="C46" s="107"/>
      <c r="D46" s="107">
        <v>1</v>
      </c>
      <c r="E46" s="107">
        <v>1</v>
      </c>
      <c r="F46" s="107" t="s">
        <v>28</v>
      </c>
      <c r="G46" s="107" t="s">
        <v>27</v>
      </c>
      <c r="H46" s="107"/>
    </row>
    <row r="47" spans="1:8" ht="41.4">
      <c r="A47" s="107"/>
      <c r="B47" s="107"/>
      <c r="C47" s="107"/>
      <c r="D47" s="107">
        <v>1</v>
      </c>
      <c r="E47" s="107">
        <v>1</v>
      </c>
      <c r="F47" s="107" t="s">
        <v>28</v>
      </c>
      <c r="G47" s="107" t="s">
        <v>27</v>
      </c>
      <c r="H47" s="107"/>
    </row>
    <row r="48" spans="1:8" ht="41.4">
      <c r="A48" s="107"/>
      <c r="B48" s="107"/>
      <c r="C48" s="107"/>
      <c r="D48" s="107">
        <v>1</v>
      </c>
      <c r="E48" s="107">
        <v>1</v>
      </c>
      <c r="F48" s="107" t="s">
        <v>28</v>
      </c>
      <c r="G48" s="107" t="s">
        <v>27</v>
      </c>
      <c r="H48" s="107"/>
    </row>
    <row r="49" spans="1:8" ht="41.4">
      <c r="A49" s="107"/>
      <c r="B49" s="107"/>
      <c r="C49" s="107"/>
      <c r="D49" s="107">
        <v>1</v>
      </c>
      <c r="E49" s="107">
        <v>1</v>
      </c>
      <c r="F49" s="107" t="s">
        <v>28</v>
      </c>
      <c r="G49" s="107" t="s">
        <v>27</v>
      </c>
      <c r="H49" s="10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5"/>
  <sheetViews>
    <sheetView topLeftCell="C40" workbookViewId="0">
      <selection activeCell="L80" sqref="L80"/>
    </sheetView>
  </sheetViews>
  <sheetFormatPr defaultColWidth="9" defaultRowHeight="13.8"/>
  <cols>
    <col min="8" max="8" width="11.296875" customWidth="1"/>
    <col min="9" max="12" width="12.796875"/>
    <col min="13" max="13" width="16.796875" customWidth="1"/>
    <col min="14" max="14" width="15" customWidth="1"/>
    <col min="15" max="15" width="18.8984375" style="16" customWidth="1"/>
    <col min="16" max="16" width="16" style="16" customWidth="1"/>
  </cols>
  <sheetData>
    <row r="1" spans="1:16" ht="26.4">
      <c r="A1" s="56" t="s">
        <v>0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8" t="s">
        <v>12</v>
      </c>
      <c r="N1" s="59" t="s">
        <v>13</v>
      </c>
      <c r="O1" s="59" t="s">
        <v>14</v>
      </c>
      <c r="P1" s="60" t="s">
        <v>15</v>
      </c>
    </row>
    <row r="2" spans="1:16" ht="14.4">
      <c r="A2" s="50" t="s">
        <v>18</v>
      </c>
      <c r="B2" s="51"/>
      <c r="C2" s="51"/>
      <c r="D2" s="51"/>
      <c r="E2" s="51"/>
      <c r="F2" s="51"/>
      <c r="G2" s="51">
        <f>0.5*(F3)</f>
        <v>1687.5</v>
      </c>
      <c r="H2" s="51">
        <f t="shared" ref="H2:H39" si="0">G2/(SQRT(3)*380)</f>
        <v>2.5638909980460398</v>
      </c>
      <c r="I2" s="51"/>
      <c r="J2" s="51"/>
      <c r="K2" s="51"/>
      <c r="L2" s="51"/>
      <c r="M2" s="61"/>
      <c r="N2" s="62"/>
      <c r="O2" s="63"/>
      <c r="P2" s="64"/>
    </row>
    <row r="3" spans="1:16" ht="14.4">
      <c r="A3" s="50">
        <v>70</v>
      </c>
      <c r="B3" s="51">
        <v>70</v>
      </c>
      <c r="C3" s="51">
        <v>25</v>
      </c>
      <c r="D3" s="51">
        <v>3</v>
      </c>
      <c r="E3" s="51">
        <v>45</v>
      </c>
      <c r="F3" s="51">
        <f t="shared" ref="F3:F39" si="1">C3*D3*E3</f>
        <v>3375</v>
      </c>
      <c r="G3" s="51">
        <f>0.5*(F3+F4)</f>
        <v>3375</v>
      </c>
      <c r="H3" s="51">
        <f t="shared" si="0"/>
        <v>5.1277819960920699</v>
      </c>
      <c r="I3" s="51">
        <f>H3+I4</f>
        <v>156.87594427023643</v>
      </c>
      <c r="J3" s="51">
        <f>I3*C3</f>
        <v>3921.8986067559108</v>
      </c>
      <c r="K3" s="51">
        <f>J3+K4</f>
        <v>18915.806818692548</v>
      </c>
      <c r="L3" s="51">
        <f>K3/(8*35)</f>
        <v>67.556452923901958</v>
      </c>
      <c r="M3" s="61">
        <f>IF(L3&gt;Veriler!$D$1,IF(L3&gt;Veriler!$D$2,IF(L3&gt;Veriler!$D$3,IF(L3&gt;Veriler!$D$4,IF(L3&gt;Veriler!$D$5,IF(L3&gt;Veriler!$D$6,IF(L3&gt;Veriler!$D$7,IF(L3&gt;Veriler!$D$8,"ders sorumlusuna başvur",Veriler!$A$8),Veriler!$A$7),Veriler!$A$6),Veriler!$A$5),Veriler!$A$4),Veriler!$A$3),Veriler!$A$2),Veriler!$A$1)</f>
        <v>7</v>
      </c>
      <c r="N3" s="62">
        <v>7</v>
      </c>
      <c r="O3" s="63" t="str">
        <f>VLOOKUP(N3,Veriler!A$1:C$8,2,FALSE)</f>
        <v>3xPhlox + Rose/Poppy</v>
      </c>
      <c r="P3" s="64" t="str">
        <f>IF(I4&lt;VLOOKUP(N4,Veriler!A$1:E$8,5,FALSE)," UYGUNDUR","KESİT AKIMI TAŞIYAMIYOR")</f>
        <v xml:space="preserve"> UYGUNDUR</v>
      </c>
    </row>
    <row r="4" spans="1:16" ht="14.4">
      <c r="A4" s="50">
        <v>71</v>
      </c>
      <c r="B4" s="51">
        <v>71</v>
      </c>
      <c r="C4" s="51">
        <v>25</v>
      </c>
      <c r="D4" s="51">
        <v>3</v>
      </c>
      <c r="E4" s="51">
        <v>45</v>
      </c>
      <c r="F4" s="51">
        <f t="shared" si="1"/>
        <v>3375</v>
      </c>
      <c r="G4" s="51">
        <f>0.5*(F4+F5+F23)</f>
        <v>5872.5</v>
      </c>
      <c r="H4" s="51">
        <f t="shared" si="0"/>
        <v>8.9223406732002051</v>
      </c>
      <c r="I4" s="51">
        <f>H4+H5+H6+H7+H8+H9+H10+H11+H12+H13+H14+H15+H16+H17+H18+H19+H20+H21+H22+I23</f>
        <v>151.74816227414436</v>
      </c>
      <c r="J4" s="51">
        <f>I4*C4</f>
        <v>3793.704056853609</v>
      </c>
      <c r="K4" s="51">
        <f>J4+K23</f>
        <v>14993.908211936638</v>
      </c>
      <c r="L4" s="51">
        <f>K4/(8*35)</f>
        <v>53.549672185487992</v>
      </c>
      <c r="M4" s="61">
        <f>IF(L4&gt;Veriler!$D$1,IF(L4&gt;Veriler!$D$2,IF(L4&gt;Veriler!$D$3,IF(L4&gt;Veriler!$D$4,IF(L4&gt;Veriler!$D$5,IF(L4&gt;Veriler!$D$6,IF(L4&gt;Veriler!$D$7,IF(L4&gt;Veriler!$D$8,"ders sorumlusuna başvur",Veriler!$A$8),Veriler!$A$7),Veriler!$A$6),Veriler!$A$5),Veriler!$A$4),Veriler!$A$3),Veriler!$A$2),Veriler!$A$1)</f>
        <v>6</v>
      </c>
      <c r="N4" s="62">
        <v>7</v>
      </c>
      <c r="O4" s="63" t="str">
        <f>VLOOKUP(N4,Veriler!A$1:C$8,2,FALSE)</f>
        <v>3xPhlox + Rose/Poppy</v>
      </c>
      <c r="P4" s="64" t="str">
        <f>IF(I4&lt;VLOOKUP(N4,Veriler!A$1:E$8,5,FALSE)," UYGUNDUR","KESİT AKIMI TAŞIYAMIYOR")</f>
        <v xml:space="preserve"> UYGUNDUR</v>
      </c>
    </row>
    <row r="5" spans="1:16" ht="14.4">
      <c r="A5" s="50">
        <v>72</v>
      </c>
      <c r="B5" s="51">
        <v>72</v>
      </c>
      <c r="C5" s="51">
        <v>40</v>
      </c>
      <c r="D5" s="51">
        <v>3</v>
      </c>
      <c r="E5" s="51">
        <v>45</v>
      </c>
      <c r="F5" s="51">
        <f t="shared" si="1"/>
        <v>5400</v>
      </c>
      <c r="G5" s="51">
        <f>0.5*(F5+F6)</f>
        <v>5400</v>
      </c>
      <c r="H5" s="51">
        <f t="shared" si="0"/>
        <v>8.2044511937473104</v>
      </c>
      <c r="I5" s="51"/>
      <c r="J5" s="51"/>
      <c r="K5" s="51"/>
      <c r="L5" s="51"/>
      <c r="M5" s="61">
        <f>IF(L5&gt;Veriler!$D$1,IF(L5&gt;Veriler!$D$2,IF(L5&gt;Veriler!$D$3,IF(L5&gt;Veriler!$D$4,IF(L5&gt;Veriler!$D$5,IF(L5&gt;Veriler!$D$6,IF(L5&gt;Veriler!$D$7,IF(L5&gt;Veriler!$D$8,"ders sorumlusuna başvur",Veriler!$A$8),Veriler!$A$7),Veriler!$A$6),Veriler!$A$5),Veriler!$A$4),Veriler!$A$3),Veriler!$A$2),Veriler!$A$1)</f>
        <v>1</v>
      </c>
      <c r="N5" s="62">
        <v>1</v>
      </c>
      <c r="O5" s="63" t="str">
        <f>VLOOKUP(N5,Veriler!A$1:C$8,2,FALSE)</f>
        <v>5 x Rose</v>
      </c>
      <c r="P5" s="64" t="str">
        <f>IF(I5&lt;VLOOKUP(N5,Veriler!A$1:E$8,5,FALSE)," UYGUNDUR","KESİT AKIMI TAŞIYAMIYOR")</f>
        <v xml:space="preserve"> UYGUNDUR</v>
      </c>
    </row>
    <row r="6" spans="1:16" ht="14.4">
      <c r="A6" s="50">
        <v>73</v>
      </c>
      <c r="B6" s="51">
        <v>73</v>
      </c>
      <c r="C6" s="51">
        <v>40</v>
      </c>
      <c r="D6" s="51">
        <v>3</v>
      </c>
      <c r="E6" s="51">
        <v>45</v>
      </c>
      <c r="F6" s="51">
        <f t="shared" si="1"/>
        <v>5400</v>
      </c>
      <c r="G6" s="51">
        <f>0.5*(F6+F7)</f>
        <v>4252.5</v>
      </c>
      <c r="H6" s="51">
        <f t="shared" si="0"/>
        <v>6.4610053150760098</v>
      </c>
      <c r="I6" s="51"/>
      <c r="J6" s="51"/>
      <c r="K6" s="51"/>
      <c r="L6" s="51"/>
      <c r="M6" s="61">
        <f>IF(L6&gt;Veriler!$D$1,IF(L6&gt;Veriler!$D$2,IF(L6&gt;Veriler!$D$3,IF(L6&gt;Veriler!$D$4,IF(L6&gt;Veriler!$D$5,IF(L6&gt;Veriler!$D$6,IF(L6&gt;Veriler!$D$7,IF(L6&gt;Veriler!$D$8,"ders sorumlusuna başvur",Veriler!$A$8),Veriler!$A$7),Veriler!$A$6),Veriler!$A$5),Veriler!$A$4),Veriler!$A$3),Veriler!$A$2),Veriler!$A$1)</f>
        <v>1</v>
      </c>
      <c r="N6" s="62">
        <v>1</v>
      </c>
      <c r="O6" s="63" t="str">
        <f>VLOOKUP(N6,Veriler!A$1:C$8,2,FALSE)</f>
        <v>5 x Rose</v>
      </c>
      <c r="P6" s="64" t="str">
        <f>IF(I6&lt;VLOOKUP(N6,Veriler!A$1:E$8,5,FALSE)," UYGUNDUR","KESİT AKIMI TAŞIYAMIYOR")</f>
        <v xml:space="preserve"> UYGUNDUR</v>
      </c>
    </row>
    <row r="7" spans="1:16" ht="14.4">
      <c r="A7" s="50">
        <v>74</v>
      </c>
      <c r="B7" s="51">
        <v>74</v>
      </c>
      <c r="C7" s="51">
        <v>23</v>
      </c>
      <c r="D7" s="51">
        <v>3</v>
      </c>
      <c r="E7" s="51">
        <v>45</v>
      </c>
      <c r="F7" s="51">
        <f t="shared" si="1"/>
        <v>3105</v>
      </c>
      <c r="G7" s="51">
        <f>0.5*(F7+F8+F12)</f>
        <v>4590</v>
      </c>
      <c r="H7" s="51">
        <f t="shared" si="0"/>
        <v>6.9737835146852198</v>
      </c>
      <c r="I7" s="51"/>
      <c r="J7" s="51"/>
      <c r="K7" s="51"/>
      <c r="L7" s="51"/>
      <c r="M7" s="61">
        <f>IF(L7&gt;Veriler!$D$1,IF(L7&gt;Veriler!$D$2,IF(L7&gt;Veriler!$D$3,IF(L7&gt;Veriler!$D$4,IF(L7&gt;Veriler!$D$5,IF(L7&gt;Veriler!$D$6,IF(L7&gt;Veriler!$D$7,IF(L7&gt;Veriler!$D$8,"ders sorumlusuna başvur",Veriler!$A$8),Veriler!$A$7),Veriler!$A$6),Veriler!$A$5),Veriler!$A$4),Veriler!$A$3),Veriler!$A$2),Veriler!$A$1)</f>
        <v>1</v>
      </c>
      <c r="N7" s="62">
        <v>1</v>
      </c>
      <c r="O7" s="63" t="str">
        <f>VLOOKUP(N7,Veriler!A$1:C$8,2,FALSE)</f>
        <v>5 x Rose</v>
      </c>
      <c r="P7" s="64" t="str">
        <f>IF(I7&lt;VLOOKUP(N7,Veriler!A$1:E$8,5,FALSE)," UYGUNDUR","KESİT AKIMI TAŞIYAMIYOR")</f>
        <v>UYGUNDUR</v>
      </c>
    </row>
    <row r="8" spans="1:16" ht="14.4">
      <c r="A8" s="50">
        <v>75</v>
      </c>
      <c r="B8" s="51">
        <v>75</v>
      </c>
      <c r="C8" s="51">
        <v>29</v>
      </c>
      <c r="D8" s="51">
        <v>3</v>
      </c>
      <c r="E8" s="51">
        <v>45</v>
      </c>
      <c r="F8" s="51">
        <f t="shared" si="1"/>
        <v>3915</v>
      </c>
      <c r="G8" s="51">
        <f>0.5*(F8+F10)</f>
        <v>3915</v>
      </c>
      <c r="H8" s="51">
        <f t="shared" si="0"/>
        <v>5.9482271154667998</v>
      </c>
      <c r="I8" s="51"/>
      <c r="J8" s="51"/>
      <c r="K8" s="51"/>
      <c r="L8" s="51"/>
      <c r="M8" s="61">
        <f>IF(L8&gt;Veriler!$D$1,IF(L8&gt;Veriler!$D$2,IF(L8&gt;Veriler!$D$3,IF(L8&gt;Veriler!$D$4,IF(L8&gt;Veriler!$D$5,IF(L8&gt;Veriler!$D$6,IF(L8&gt;Veriler!$D$7,IF(L8&gt;Veriler!$D$8,"ders sorumlusuna başvur",Veriler!$A$8),Veriler!$A$7),Veriler!$A$6),Veriler!$A$5),Veriler!$A$4),Veriler!$A$3),Veriler!$A$2),Veriler!$A$1)</f>
        <v>1</v>
      </c>
      <c r="N8" s="62">
        <v>1</v>
      </c>
      <c r="O8" s="63" t="str">
        <f>VLOOKUP(N8,Veriler!A$1:C$8,2,FALSE)</f>
        <v>5 x Rose</v>
      </c>
      <c r="P8" s="64" t="str">
        <f>IF(I8&lt;VLOOKUP(N8,Veriler!A$1:E$8,5,FALSE)," UYGUNDUR","KESİT AKIMI TAŞIYAMIYOR")</f>
        <v>UYGUNDUR</v>
      </c>
    </row>
    <row r="9" spans="1:16" ht="14.4">
      <c r="A9" s="50">
        <v>76</v>
      </c>
      <c r="B9" s="51">
        <v>76</v>
      </c>
      <c r="C9" s="51">
        <v>29</v>
      </c>
      <c r="D9" s="51">
        <v>3</v>
      </c>
      <c r="E9" s="51">
        <v>45</v>
      </c>
      <c r="F9" s="51">
        <f t="shared" si="1"/>
        <v>3915</v>
      </c>
      <c r="G9" s="51">
        <f>0.5*(F9+F10)</f>
        <v>3915</v>
      </c>
      <c r="H9" s="51">
        <f t="shared" si="0"/>
        <v>5.9482271154667998</v>
      </c>
      <c r="I9" s="51"/>
      <c r="J9" s="51"/>
      <c r="K9" s="51"/>
      <c r="L9" s="51"/>
      <c r="M9" s="61">
        <f>IF(L9&gt;Veriler!$D$1,IF(L9&gt;Veriler!$D$2,IF(L9&gt;Veriler!$D$3,IF(L9&gt;Veriler!$D$4,IF(L9&gt;Veriler!$D$5,IF(L9&gt;Veriler!$D$6,IF(L9&gt;Veriler!$D$7,IF(L9&gt;Veriler!$D$8,"ders sorumlusuna başvur",Veriler!$A$8),Veriler!$A$7),Veriler!$A$6),Veriler!$A$5),Veriler!$A$4),Veriler!$A$3),Veriler!$A$2),Veriler!$A$1)</f>
        <v>1</v>
      </c>
      <c r="N9" s="62">
        <v>1</v>
      </c>
      <c r="O9" s="63" t="str">
        <f>VLOOKUP(N9,Veriler!A$1:C$8,2,FALSE)</f>
        <v>5 x Rose</v>
      </c>
      <c r="P9" s="64" t="str">
        <f>IF(I9&lt;VLOOKUP(N9,Veriler!A$1:E$8,5,FALSE)," UYGUNDUR","KESİT AKIMI TAŞIYAMIYOR")</f>
        <v>UYGUNDUR</v>
      </c>
    </row>
    <row r="10" spans="1:16" ht="14.4">
      <c r="A10" s="50">
        <v>77</v>
      </c>
      <c r="B10" s="51">
        <v>77</v>
      </c>
      <c r="C10" s="51">
        <v>29</v>
      </c>
      <c r="D10" s="51">
        <v>3</v>
      </c>
      <c r="E10" s="51">
        <v>45</v>
      </c>
      <c r="F10" s="51">
        <f t="shared" si="1"/>
        <v>3915</v>
      </c>
      <c r="G10" s="51">
        <f>0.5*(F10+F11)</f>
        <v>3915</v>
      </c>
      <c r="H10" s="51">
        <f t="shared" si="0"/>
        <v>5.9482271154667998</v>
      </c>
      <c r="I10" s="51"/>
      <c r="J10" s="51"/>
      <c r="K10" s="51"/>
      <c r="L10" s="51"/>
      <c r="M10" s="61">
        <f>IF(L10&gt;Veriler!$D$1,IF(L10&gt;Veriler!$D$2,IF(L10&gt;Veriler!$D$3,IF(L10&gt;Veriler!$D$4,IF(L10&gt;Veriler!$D$5,IF(L10&gt;Veriler!$D$6,IF(L10&gt;Veriler!$D$7,IF(L10&gt;Veriler!$D$8,"ders sorumlusuna başvur",Veriler!$A$8),Veriler!$A$7),Veriler!$A$6),Veriler!$A$5),Veriler!$A$4),Veriler!$A$3),Veriler!$A$2),Veriler!$A$1)</f>
        <v>1</v>
      </c>
      <c r="N10" s="62">
        <v>1</v>
      </c>
      <c r="O10" s="63" t="str">
        <f>VLOOKUP(N10,Veriler!A$1:C$8,2,FALSE)</f>
        <v>5 x Rose</v>
      </c>
      <c r="P10" s="64" t="str">
        <f>IF(I10&lt;VLOOKUP(N10,Veriler!A$1:E$8,5,FALSE)," UYGUNDUR","KESİT AKIMI TAŞIYAMIYOR")</f>
        <v>UYGUNDUR</v>
      </c>
    </row>
    <row r="11" spans="1:16" ht="14.4">
      <c r="A11" s="50">
        <v>78</v>
      </c>
      <c r="B11" s="51">
        <v>78</v>
      </c>
      <c r="C11" s="51">
        <v>29</v>
      </c>
      <c r="D11" s="51">
        <v>3</v>
      </c>
      <c r="E11" s="51">
        <v>45</v>
      </c>
      <c r="F11" s="51">
        <f t="shared" si="1"/>
        <v>3915</v>
      </c>
      <c r="G11" s="51">
        <f>0.5*(F11)</f>
        <v>1957.5</v>
      </c>
      <c r="H11" s="51">
        <f t="shared" si="0"/>
        <v>2.9741135577333999</v>
      </c>
      <c r="I11" s="51"/>
      <c r="J11" s="51"/>
      <c r="K11" s="51"/>
      <c r="L11" s="51"/>
      <c r="M11" s="61">
        <f>IF(L11&gt;Veriler!$D$1,IF(L11&gt;Veriler!$D$2,IF(L11&gt;Veriler!$D$3,IF(L11&gt;Veriler!$D$4,IF(L11&gt;Veriler!$D$5,IF(L11&gt;Veriler!$D$6,IF(L11&gt;Veriler!$D$7,IF(L11&gt;Veriler!$D$8,"ders sorumlusuna başvur",Veriler!$A$8),Veriler!$A$7),Veriler!$A$6),Veriler!$A$5),Veriler!$A$4),Veriler!$A$3),Veriler!$A$2),Veriler!$A$1)</f>
        <v>1</v>
      </c>
      <c r="N11" s="62">
        <v>1</v>
      </c>
      <c r="O11" s="63" t="str">
        <f>VLOOKUP(N11,Veriler!A$1:C$8,2,FALSE)</f>
        <v>5 x Rose</v>
      </c>
      <c r="P11" s="64" t="str">
        <f>IF(I11&lt;VLOOKUP(N11,Veriler!A$1:E$8,5,FALSE)," UYGUNDUR","KESİT AKIMI TAŞIYAMIYOR")</f>
        <v xml:space="preserve"> UYGUNDUR</v>
      </c>
    </row>
    <row r="12" spans="1:16" ht="14.4">
      <c r="A12" s="50">
        <v>79</v>
      </c>
      <c r="B12" s="51">
        <v>79</v>
      </c>
      <c r="C12" s="51">
        <v>16</v>
      </c>
      <c r="D12" s="51">
        <v>3</v>
      </c>
      <c r="E12" s="51">
        <v>45</v>
      </c>
      <c r="F12" s="51">
        <f t="shared" si="1"/>
        <v>2160</v>
      </c>
      <c r="G12" s="51">
        <f>0.5*(F12+F13)</f>
        <v>2835</v>
      </c>
      <c r="H12" s="51">
        <f t="shared" si="0"/>
        <v>4.3073368767173399</v>
      </c>
      <c r="I12" s="51"/>
      <c r="J12" s="51"/>
      <c r="K12" s="51"/>
      <c r="L12" s="51"/>
      <c r="M12" s="61">
        <f>IF(L12&gt;Veriler!$D$1,IF(L12&gt;Veriler!$D$2,IF(L12&gt;Veriler!$D$3,IF(L12&gt;Veriler!$D$4,IF(L12&gt;Veriler!$D$5,IF(L12&gt;Veriler!$D$6,IF(L12&gt;Veriler!$D$7,IF(L12&gt;Veriler!$D$8,"ders sorumlusuna başvur",Veriler!$A$8),Veriler!$A$7),Veriler!$A$6),Veriler!$A$5),Veriler!$A$4),Veriler!$A$3),Veriler!$A$2),Veriler!$A$1)</f>
        <v>1</v>
      </c>
      <c r="N12" s="62">
        <v>1</v>
      </c>
      <c r="O12" s="63" t="str">
        <f>VLOOKUP(N12,Veriler!A$1:C$8,2,FALSE)</f>
        <v>5 x Rose</v>
      </c>
      <c r="P12" s="64" t="str">
        <f>IF(I12&lt;VLOOKUP(N12,Veriler!A$1:E$8,5,FALSE)," UYGUNDUR","KESİT AKIMI TAŞIYAMIYOR")</f>
        <v>UYGUNDUR</v>
      </c>
    </row>
    <row r="13" spans="1:16" ht="14.4">
      <c r="A13" s="50">
        <v>80</v>
      </c>
      <c r="B13" s="51">
        <v>80</v>
      </c>
      <c r="C13" s="51">
        <v>26</v>
      </c>
      <c r="D13" s="51">
        <v>3</v>
      </c>
      <c r="E13" s="51">
        <v>45</v>
      </c>
      <c r="F13" s="51">
        <f t="shared" si="1"/>
        <v>3510</v>
      </c>
      <c r="G13" s="51">
        <f>0.5*(F13+F14)</f>
        <v>3510</v>
      </c>
      <c r="H13" s="51">
        <f t="shared" si="0"/>
        <v>5.3328932759357501</v>
      </c>
      <c r="I13" s="51"/>
      <c r="J13" s="51"/>
      <c r="K13" s="51"/>
      <c r="L13" s="51"/>
      <c r="M13" s="61">
        <f>IF(L13&gt;Veriler!$D$1,IF(L13&gt;Veriler!$D$2,IF(L13&gt;Veriler!$D$3,IF(L13&gt;Veriler!$D$4,IF(L13&gt;Veriler!$D$5,IF(L13&gt;Veriler!$D$6,IF(L13&gt;Veriler!$D$7,IF(L13&gt;Veriler!$D$8,"ders sorumlusuna başvur",Veriler!$A$8),Veriler!$A$7),Veriler!$A$6),Veriler!$A$5),Veriler!$A$4),Veriler!$A$3),Veriler!$A$2),Veriler!$A$1)</f>
        <v>1</v>
      </c>
      <c r="N13" s="62">
        <v>1</v>
      </c>
      <c r="O13" s="63" t="str">
        <f>VLOOKUP(N13,Veriler!A$1:C$8,2,FALSE)</f>
        <v>5 x Rose</v>
      </c>
      <c r="P13" s="64" t="str">
        <f>IF(I13&lt;VLOOKUP(N13,Veriler!A$1:E$8,5,FALSE)," UYGUNDUR","KESİT AKIMI TAŞIYAMIYOR")</f>
        <v>UYGUNDUR</v>
      </c>
    </row>
    <row r="14" spans="1:16" ht="14.4">
      <c r="A14" s="50">
        <v>81</v>
      </c>
      <c r="B14" s="51">
        <v>81</v>
      </c>
      <c r="C14" s="51">
        <v>26</v>
      </c>
      <c r="D14" s="51">
        <v>3</v>
      </c>
      <c r="E14" s="51">
        <v>45</v>
      </c>
      <c r="F14" s="51">
        <f t="shared" si="1"/>
        <v>3510</v>
      </c>
      <c r="G14" s="51">
        <f>0.5*(F14+F15+F17)</f>
        <v>4230</v>
      </c>
      <c r="H14" s="51">
        <f t="shared" si="0"/>
        <v>6.4268201017687296</v>
      </c>
      <c r="I14" s="51"/>
      <c r="J14" s="51"/>
      <c r="K14" s="51"/>
      <c r="L14" s="51"/>
      <c r="M14" s="61">
        <f>IF(L14&gt;Veriler!$D$1,IF(L14&gt;Veriler!$D$2,IF(L14&gt;Veriler!$D$3,IF(L14&gt;Veriler!$D$4,IF(L14&gt;Veriler!$D$5,IF(L14&gt;Veriler!$D$6,IF(L14&gt;Veriler!$D$7,IF(L14&gt;Veriler!$D$8,"ders sorumlusuna başvur",Veriler!$A$8),Veriler!$A$7),Veriler!$A$6),Veriler!$A$5),Veriler!$A$4),Veriler!$A$3),Veriler!$A$2),Veriler!$A$1)</f>
        <v>1</v>
      </c>
      <c r="N14" s="62">
        <v>1</v>
      </c>
      <c r="O14" s="63" t="str">
        <f>VLOOKUP(N14,Veriler!A$1:C$8,2,FALSE)</f>
        <v>5 x Rose</v>
      </c>
      <c r="P14" s="64" t="str">
        <f>IF(I14&lt;VLOOKUP(N14,Veriler!A$1:E$8,5,FALSE)," UYGUNDUR","KESİT AKIMI TAŞIYAMIYOR")</f>
        <v>UYGUNDUR</v>
      </c>
    </row>
    <row r="15" spans="1:16" ht="14.4">
      <c r="A15" s="50">
        <v>82</v>
      </c>
      <c r="B15" s="51">
        <v>82</v>
      </c>
      <c r="C15" s="51">
        <v>26</v>
      </c>
      <c r="D15" s="51">
        <v>3</v>
      </c>
      <c r="E15" s="51">
        <v>45</v>
      </c>
      <c r="F15" s="51">
        <f t="shared" si="1"/>
        <v>3510</v>
      </c>
      <c r="G15" s="51">
        <f>0.5*(F15+F16)</f>
        <v>3510</v>
      </c>
      <c r="H15" s="51">
        <f t="shared" si="0"/>
        <v>5.3328932759357501</v>
      </c>
      <c r="I15" s="51"/>
      <c r="J15" s="51"/>
      <c r="K15" s="51"/>
      <c r="L15" s="51"/>
      <c r="M15" s="61">
        <f>IF(L15&gt;Veriler!$D$1,IF(L15&gt;Veriler!$D$2,IF(L15&gt;Veriler!$D$3,IF(L15&gt;Veriler!$D$4,IF(L15&gt;Veriler!$D$5,IF(L15&gt;Veriler!$D$6,IF(L15&gt;Veriler!$D$7,IF(L15&gt;Veriler!$D$8,"ders sorumlusuna başvur",Veriler!$A$8),Veriler!$A$7),Veriler!$A$6),Veriler!$A$5),Veriler!$A$4),Veriler!$A$3),Veriler!$A$2),Veriler!$A$1)</f>
        <v>1</v>
      </c>
      <c r="N15" s="62">
        <v>1</v>
      </c>
      <c r="O15" s="63" t="str">
        <f>VLOOKUP(N15,Veriler!A$1:C$8,2,FALSE)</f>
        <v>5 x Rose</v>
      </c>
      <c r="P15" s="64" t="str">
        <f>IF(I15&lt;VLOOKUP(N15,Veriler!A$1:E$8,5,FALSE)," UYGUNDUR","KESİT AKIMI TAŞIYAMIYOR")</f>
        <v>UYGUNDUR</v>
      </c>
    </row>
    <row r="16" spans="1:16" ht="14.4">
      <c r="A16" s="50">
        <v>83</v>
      </c>
      <c r="B16" s="51">
        <v>83</v>
      </c>
      <c r="C16" s="51">
        <v>26</v>
      </c>
      <c r="D16" s="51">
        <v>3</v>
      </c>
      <c r="E16" s="51">
        <v>45</v>
      </c>
      <c r="F16" s="51">
        <f t="shared" si="1"/>
        <v>3510</v>
      </c>
      <c r="G16" s="51">
        <f>0.5*(F16)</f>
        <v>1755</v>
      </c>
      <c r="H16" s="51">
        <f t="shared" si="0"/>
        <v>2.66644663796788</v>
      </c>
      <c r="I16" s="51"/>
      <c r="J16" s="51"/>
      <c r="K16" s="51"/>
      <c r="L16" s="51"/>
      <c r="M16" s="61">
        <f>IF(L16&gt;Veriler!$D$1,IF(L16&gt;Veriler!$D$2,IF(L16&gt;Veriler!$D$3,IF(L16&gt;Veriler!$D$4,IF(L16&gt;Veriler!$D$5,IF(L16&gt;Veriler!$D$6,IF(L16&gt;Veriler!$D$7,IF(L16&gt;Veriler!$D$8,"ders sorumlusuna başvur",Veriler!$A$8),Veriler!$A$7),Veriler!$A$6),Veriler!$A$5),Veriler!$A$4),Veriler!$A$3),Veriler!$A$2),Veriler!$A$1)</f>
        <v>1</v>
      </c>
      <c r="N16" s="62">
        <v>1</v>
      </c>
      <c r="O16" s="63" t="str">
        <f>VLOOKUP(N16,Veriler!A$1:C$8,2,FALSE)</f>
        <v>5 x Rose</v>
      </c>
      <c r="P16" s="64" t="str">
        <f>IF(I16&lt;VLOOKUP(N16,Veriler!A$1:E$8,5,FALSE)," UYGUNDUR","KESİT AKIMI TAŞIYAMIYOR")</f>
        <v>UYGUNDUR</v>
      </c>
    </row>
    <row r="17" spans="1:16" ht="14.4">
      <c r="A17" s="50">
        <v>84</v>
      </c>
      <c r="B17" s="51">
        <v>84</v>
      </c>
      <c r="C17" s="51">
        <v>16</v>
      </c>
      <c r="D17" s="51">
        <v>2</v>
      </c>
      <c r="E17" s="51">
        <v>45</v>
      </c>
      <c r="F17" s="51">
        <f t="shared" si="1"/>
        <v>1440</v>
      </c>
      <c r="G17" s="51">
        <f>0.5*(F17+F18)</f>
        <v>2520</v>
      </c>
      <c r="H17" s="51">
        <f t="shared" si="0"/>
        <v>3.8287438904154132</v>
      </c>
      <c r="I17" s="51"/>
      <c r="J17" s="51"/>
      <c r="K17" s="51"/>
      <c r="L17" s="51"/>
      <c r="M17" s="61">
        <f>IF(L17&gt;Veriler!$D$1,IF(L17&gt;Veriler!$D$2,IF(L17&gt;Veriler!$D$3,IF(L17&gt;Veriler!$D$4,IF(L17&gt;Veriler!$D$5,IF(L17&gt;Veriler!$D$6,IF(L17&gt;Veriler!$D$7,IF(L17&gt;Veriler!$D$8,"ders sorumlusuna başvur",Veriler!$A$8),Veriler!$A$7),Veriler!$A$6),Veriler!$A$5),Veriler!$A$4),Veriler!$A$3),Veriler!$A$2),Veriler!$A$1)</f>
        <v>1</v>
      </c>
      <c r="N17" s="62">
        <v>1</v>
      </c>
      <c r="O17" s="63" t="str">
        <f>VLOOKUP(N17,Veriler!A$1:C$8,2,FALSE)</f>
        <v>5 x Rose</v>
      </c>
      <c r="P17" s="64" t="str">
        <f>IF(I17&lt;VLOOKUP(N17,Veriler!A$1:E$8,5,FALSE)," UYGUNDUR","KESİT AKIMI TAŞIYAMIYOR")</f>
        <v>UYGUNDUR</v>
      </c>
    </row>
    <row r="18" spans="1:16" ht="14.4">
      <c r="A18" s="50">
        <v>85</v>
      </c>
      <c r="B18" s="51">
        <v>85</v>
      </c>
      <c r="C18" s="51">
        <v>40</v>
      </c>
      <c r="D18" s="51">
        <v>2</v>
      </c>
      <c r="E18" s="51">
        <v>45</v>
      </c>
      <c r="F18" s="51">
        <f t="shared" si="1"/>
        <v>3600</v>
      </c>
      <c r="G18" s="51">
        <f>0.5*(F18+F19)</f>
        <v>3600</v>
      </c>
      <c r="H18" s="51">
        <f t="shared" si="0"/>
        <v>5.4696341291648762</v>
      </c>
      <c r="I18" s="51"/>
      <c r="J18" s="51"/>
      <c r="K18" s="51"/>
      <c r="L18" s="51"/>
      <c r="M18" s="61">
        <f>IF(L18&gt;Veriler!$D$1,IF(L18&gt;Veriler!$D$2,IF(L18&gt;Veriler!$D$3,IF(L18&gt;Veriler!$D$4,IF(L18&gt;Veriler!$D$5,IF(L18&gt;Veriler!$D$6,IF(L18&gt;Veriler!$D$7,IF(L18&gt;Veriler!$D$8,"ders sorumlusuna başvur",Veriler!$A$8),Veriler!$A$7),Veriler!$A$6),Veriler!$A$5),Veriler!$A$4),Veriler!$A$3),Veriler!$A$2),Veriler!$A$1)</f>
        <v>1</v>
      </c>
      <c r="N18" s="62">
        <v>1</v>
      </c>
      <c r="O18" s="63" t="str">
        <f>VLOOKUP(N18,Veriler!A$1:C$8,2,FALSE)</f>
        <v>5 x Rose</v>
      </c>
      <c r="P18" s="64" t="str">
        <f>IF(I18&lt;VLOOKUP(N18,Veriler!A$1:E$8,5,FALSE)," UYGUNDUR","KESİT AKIMI TAŞIYAMIYOR")</f>
        <v>UYGUNDUR</v>
      </c>
    </row>
    <row r="19" spans="1:16" ht="14.4">
      <c r="A19" s="50">
        <v>86</v>
      </c>
      <c r="B19" s="51">
        <v>86</v>
      </c>
      <c r="C19" s="51">
        <v>40</v>
      </c>
      <c r="D19" s="51">
        <v>2</v>
      </c>
      <c r="E19" s="51">
        <v>45</v>
      </c>
      <c r="F19" s="51">
        <f t="shared" si="1"/>
        <v>3600</v>
      </c>
      <c r="G19" s="51">
        <f>0.5*(F19+F20)</f>
        <v>3600</v>
      </c>
      <c r="H19" s="51">
        <f t="shared" si="0"/>
        <v>5.4696341291648762</v>
      </c>
      <c r="I19" s="51"/>
      <c r="J19" s="51"/>
      <c r="K19" s="51"/>
      <c r="L19" s="51"/>
      <c r="M19" s="61">
        <f>IF(L19&gt;Veriler!$D$1,IF(L19&gt;Veriler!$D$2,IF(L19&gt;Veriler!$D$3,IF(L19&gt;Veriler!$D$4,IF(L19&gt;Veriler!$D$5,IF(L19&gt;Veriler!$D$6,IF(L19&gt;Veriler!$D$7,IF(L19&gt;Veriler!$D$8,"ders sorumlusuna başvur",Veriler!$A$8),Veriler!$A$7),Veriler!$A$6),Veriler!$A$5),Veriler!$A$4),Veriler!$A$3),Veriler!$A$2),Veriler!$A$1)</f>
        <v>1</v>
      </c>
      <c r="N19" s="62">
        <v>1</v>
      </c>
      <c r="O19" s="63" t="str">
        <f>VLOOKUP(N16,Veriler!A$1:C$8,2,FALSE)</f>
        <v>5 x Rose</v>
      </c>
      <c r="P19" s="64" t="str">
        <f>IF(I19&lt;VLOOKUP(N19,Veriler!A$1:E$8,5,FALSE)," UYGUNDUR","KESİT AKIMI TAŞIYAMIYOR")</f>
        <v>UYGUNDUR</v>
      </c>
    </row>
    <row r="20" spans="1:16" ht="14.4">
      <c r="A20" s="50">
        <v>87</v>
      </c>
      <c r="B20" s="51">
        <v>87</v>
      </c>
      <c r="C20" s="51">
        <v>40</v>
      </c>
      <c r="D20" s="51">
        <v>2</v>
      </c>
      <c r="E20" s="51">
        <v>45</v>
      </c>
      <c r="F20" s="51">
        <f t="shared" si="1"/>
        <v>3600</v>
      </c>
      <c r="G20" s="51">
        <f>0.5*(F20+F21)</f>
        <v>3600</v>
      </c>
      <c r="H20" s="51">
        <f t="shared" si="0"/>
        <v>5.4696341291648762</v>
      </c>
      <c r="I20" s="51"/>
      <c r="J20" s="51"/>
      <c r="K20" s="51"/>
      <c r="L20" s="51"/>
      <c r="M20" s="61">
        <f>IF(L20&gt;Veriler!$D$1,IF(L20&gt;Veriler!$D$2,IF(L20&gt;Veriler!$D$3,IF(L20&gt;Veriler!$D$4,IF(L20&gt;Veriler!$D$5,IF(L20&gt;Veriler!$D$6,IF(L20&gt;Veriler!$D$7,IF(L20&gt;Veriler!$D$8,"ders sorumlusuna başvur",Veriler!$A$8),Veriler!$A$7),Veriler!$A$6),Veriler!$A$5),Veriler!$A$4),Veriler!$A$3),Veriler!$A$2),Veriler!$A$1)</f>
        <v>1</v>
      </c>
      <c r="N20" s="62">
        <v>1</v>
      </c>
      <c r="O20" s="63" t="str">
        <f>VLOOKUP(N17,Veriler!A$1:C$8,2,FALSE)</f>
        <v>5 x Rose</v>
      </c>
      <c r="P20" s="64" t="str">
        <f>IF(I20&lt;VLOOKUP(N20,Veriler!A$1:E$8,5,FALSE)," UYGUNDUR","KESİT AKIMI TAŞIYAMIYOR")</f>
        <v>UYGUNDUR</v>
      </c>
    </row>
    <row r="21" spans="1:16" ht="14.4">
      <c r="A21" s="50">
        <v>88</v>
      </c>
      <c r="B21" s="51">
        <v>88</v>
      </c>
      <c r="C21" s="51">
        <v>40</v>
      </c>
      <c r="D21" s="51">
        <v>2</v>
      </c>
      <c r="E21" s="51">
        <v>45</v>
      </c>
      <c r="F21" s="51">
        <f t="shared" si="1"/>
        <v>3600</v>
      </c>
      <c r="G21" s="51">
        <f>0.5*(F21+F22)</f>
        <v>3600</v>
      </c>
      <c r="H21" s="51">
        <f t="shared" si="0"/>
        <v>5.4696341291648762</v>
      </c>
      <c r="I21" s="51"/>
      <c r="J21" s="51"/>
      <c r="K21" s="51"/>
      <c r="L21" s="51"/>
      <c r="M21" s="61">
        <f>IF(L21&gt;Veriler!$D$1,IF(L21&gt;Veriler!$D$2,IF(L21&gt;Veriler!$D$3,IF(L21&gt;Veriler!$D$4,IF(L21&gt;Veriler!$D$5,IF(L21&gt;Veriler!$D$6,IF(L21&gt;Veriler!$D$7,IF(L21&gt;Veriler!$D$8,"ders sorumlusuna başvur",Veriler!$A$8),Veriler!$A$7),Veriler!$A$6),Veriler!$A$5),Veriler!$A$4),Veriler!$A$3),Veriler!$A$2),Veriler!$A$1)</f>
        <v>1</v>
      </c>
      <c r="N21" s="62">
        <v>1</v>
      </c>
      <c r="O21" s="63" t="str">
        <f>VLOOKUP(N18,Veriler!A$1:C$8,2,FALSE)</f>
        <v>5 x Rose</v>
      </c>
      <c r="P21" s="64" t="str">
        <f>IF(I21&lt;VLOOKUP(N21,Veriler!A$1:E$8,5,FALSE)," UYGUNDUR","KESİT AKIMI TAŞIYAMIYOR")</f>
        <v>UYGUNDUR</v>
      </c>
    </row>
    <row r="22" spans="1:16" ht="14.4">
      <c r="A22" s="50">
        <v>89</v>
      </c>
      <c r="B22" s="51">
        <v>89</v>
      </c>
      <c r="C22" s="51">
        <v>40</v>
      </c>
      <c r="D22" s="51">
        <v>2</v>
      </c>
      <c r="E22" s="51">
        <v>45</v>
      </c>
      <c r="F22" s="51">
        <f t="shared" si="1"/>
        <v>3600</v>
      </c>
      <c r="G22" s="51">
        <f>0.5*(F22)</f>
        <v>1800</v>
      </c>
      <c r="H22" s="51">
        <f t="shared" si="0"/>
        <v>2.7348170645824381</v>
      </c>
      <c r="I22" s="51"/>
      <c r="J22" s="51"/>
      <c r="K22" s="51"/>
      <c r="L22" s="51"/>
      <c r="M22" s="61">
        <f>IF(L22&gt;Veriler!$D$1,IF(L22&gt;Veriler!$D$2,IF(L22&gt;Veriler!$D$3,IF(L22&gt;Veriler!$D$4,IF(L22&gt;Veriler!$D$5,IF(L22&gt;Veriler!$D$6,IF(L22&gt;Veriler!$D$7,IF(L22&gt;Veriler!$D$8,"ders sorumlusuna başvur",Veriler!$A$8),Veriler!$A$7),Veriler!$A$6),Veriler!$A$5),Veriler!$A$4),Veriler!$A$3),Veriler!$A$2),Veriler!$A$1)</f>
        <v>1</v>
      </c>
      <c r="N22" s="62">
        <v>1</v>
      </c>
      <c r="O22" s="63" t="str">
        <f>VLOOKUP(N19,Veriler!A$1:C$8,2,FALSE)</f>
        <v>5 x Rose</v>
      </c>
      <c r="P22" s="64" t="str">
        <f>IF(I22&lt;VLOOKUP(N22,Veriler!A$1:E$8,5,FALSE)," UYGUNDUR","KESİT AKIMI TAŞIYAMIYOR")</f>
        <v>UYGUNDUR</v>
      </c>
    </row>
    <row r="23" spans="1:16" ht="15" customHeight="1">
      <c r="A23" s="50">
        <v>90</v>
      </c>
      <c r="B23" s="51">
        <v>90</v>
      </c>
      <c r="C23" s="51">
        <v>33</v>
      </c>
      <c r="D23" s="51">
        <v>2</v>
      </c>
      <c r="E23" s="51">
        <v>45</v>
      </c>
      <c r="F23" s="51">
        <f t="shared" si="1"/>
        <v>2970</v>
      </c>
      <c r="G23" s="51">
        <f>0.5*(F23+F24)</f>
        <v>2970</v>
      </c>
      <c r="H23" s="51">
        <f t="shared" si="0"/>
        <v>4.5124481565610228</v>
      </c>
      <c r="I23" s="51">
        <f>H23+I24</f>
        <v>47.859299033319004</v>
      </c>
      <c r="J23" s="51">
        <f>I23*C23</f>
        <v>1579.3568680995272</v>
      </c>
      <c r="K23" s="51">
        <f>J23+K24</f>
        <v>11200.204155083029</v>
      </c>
      <c r="L23" s="51">
        <f>K23/(8*35)</f>
        <v>40.00072912529653</v>
      </c>
      <c r="M23" s="61">
        <f>IF(L23&gt;Veriler!$D$1,IF(L23&gt;Veriler!$D$2,IF(L23&gt;Veriler!$D$3,IF(L23&gt;Veriler!$D$4,IF(L23&gt;Veriler!$D$5,IF(L23&gt;Veriler!$D$6,IF(L23&gt;Veriler!$D$7,IF(L23&gt;Veriler!$D$8,"ders sorumlusuna başvur",Veriler!$A$8),Veriler!$A$7),Veriler!$A$6),Veriler!$A$5),Veriler!$A$4),Veriler!$A$3),Veriler!$A$2),Veriler!$A$1)</f>
        <v>4</v>
      </c>
      <c r="N23" s="62">
        <v>4</v>
      </c>
      <c r="O23" s="63" t="str">
        <f>VLOOKUP(N20,Veriler!A$1:C$8,2,FALSE)</f>
        <v>5 x Rose</v>
      </c>
      <c r="P23" s="64" t="s">
        <v>19</v>
      </c>
    </row>
    <row r="24" spans="1:16" ht="14.4">
      <c r="A24" s="50">
        <v>91</v>
      </c>
      <c r="B24" s="51">
        <v>91</v>
      </c>
      <c r="C24" s="51">
        <v>33</v>
      </c>
      <c r="D24" s="51">
        <v>2</v>
      </c>
      <c r="E24" s="51">
        <v>45</v>
      </c>
      <c r="F24" s="51">
        <f t="shared" si="1"/>
        <v>2970</v>
      </c>
      <c r="G24" s="51">
        <f>0.5*(F24+F25)</f>
        <v>2970</v>
      </c>
      <c r="H24" s="51">
        <f t="shared" si="0"/>
        <v>4.5124481565610228</v>
      </c>
      <c r="I24" s="51">
        <f>H24+I25</f>
        <v>43.346850876757983</v>
      </c>
      <c r="J24" s="51">
        <f>I24*C24</f>
        <v>1430.4460789330135</v>
      </c>
      <c r="K24" s="51">
        <f>J24+K25</f>
        <v>9620.8472869835023</v>
      </c>
      <c r="L24" s="51">
        <f>K24/(8*35)</f>
        <v>34.36016888208394</v>
      </c>
      <c r="M24" s="61">
        <f>IF(L24&gt;Veriler!$D$1,IF(L24&gt;Veriler!$D$2,IF(L24&gt;Veriler!$D$3,IF(L24&gt;Veriler!$D$4,IF(L24&gt;Veriler!$D$5,IF(L24&gt;Veriler!$D$6,IF(L24&gt;Veriler!$D$7,IF(L24&gt;Veriler!$D$8,"ders sorumlusuna başvur",Veriler!$A$8),Veriler!$A$7),Veriler!$A$6),Veriler!$A$5),Veriler!$A$4),Veriler!$A$3),Veriler!$A$2),Veriler!$A$1)</f>
        <v>4</v>
      </c>
      <c r="N24" s="62">
        <v>4</v>
      </c>
      <c r="O24" s="63" t="str">
        <f>VLOOKUP(N21,Veriler!A$1:C$8,2,FALSE)</f>
        <v>5 x Rose</v>
      </c>
      <c r="P24" s="64" t="str">
        <f>IF(I24&lt;VLOOKUP(N24,Veriler!A$1:E$8,5,FALSE)," UYGUNDUR","KESİT AKIMI TAŞIYAMIYOR")</f>
        <v xml:space="preserve"> UYGUNDUR</v>
      </c>
    </row>
    <row r="25" spans="1:16" ht="14.4">
      <c r="A25" s="50">
        <v>92</v>
      </c>
      <c r="B25" s="51">
        <v>92</v>
      </c>
      <c r="C25" s="51">
        <v>33</v>
      </c>
      <c r="D25" s="51">
        <v>2</v>
      </c>
      <c r="E25" s="51">
        <v>45</v>
      </c>
      <c r="F25" s="51">
        <f t="shared" si="1"/>
        <v>2970</v>
      </c>
      <c r="G25" s="51">
        <f>0.5*(F25+F26)</f>
        <v>2970</v>
      </c>
      <c r="H25" s="51">
        <f t="shared" si="0"/>
        <v>4.5124481565610228</v>
      </c>
      <c r="I25" s="51">
        <f>H25+I26</f>
        <v>38.834402720196962</v>
      </c>
      <c r="J25" s="51">
        <f>I25*C25</f>
        <v>1281.5352897664998</v>
      </c>
      <c r="K25" s="51">
        <f>J25+K26</f>
        <v>8190.4012080504881</v>
      </c>
      <c r="L25" s="51">
        <f>K25/(8*35)</f>
        <v>29.251432885894602</v>
      </c>
      <c r="M25" s="61">
        <f>IF(L25&gt;Veriler!$D$1,IF(L25&gt;Veriler!$D$2,IF(L25&gt;Veriler!$D$3,IF(L25&gt;Veriler!$D$4,IF(L25&gt;Veriler!$D$5,IF(L25&gt;Veriler!$D$6,IF(L25&gt;Veriler!$D$7,IF(L25&gt;Veriler!$D$8,"ders sorumlusuna başvur",Veriler!$A$8),Veriler!$A$7),Veriler!$A$6),Veriler!$A$5),Veriler!$A$4),Veriler!$A$3),Veriler!$A$2),Veriler!$A$1)</f>
        <v>3</v>
      </c>
      <c r="N25" s="62">
        <v>4</v>
      </c>
      <c r="O25" s="63" t="str">
        <f>VLOOKUP(N25,Veriler!A$1:C$8,2,FALSE)</f>
        <v>3xPansy + Rose/Iris</v>
      </c>
      <c r="P25" s="64" t="str">
        <f>IF(I26&lt;VLOOKUP(N26,Veriler!A$1:E$8,5,FALSE)," UYGUNDUR","KESİT AKIMI TAŞIYAMIYOR")</f>
        <v xml:space="preserve"> UYGUNDUR</v>
      </c>
    </row>
    <row r="26" spans="1:16" ht="14.4">
      <c r="A26" s="50">
        <v>93</v>
      </c>
      <c r="B26" s="51">
        <v>93</v>
      </c>
      <c r="C26" s="51">
        <v>33</v>
      </c>
      <c r="D26" s="51">
        <v>2</v>
      </c>
      <c r="E26" s="51">
        <v>45</v>
      </c>
      <c r="F26" s="51">
        <f t="shared" si="1"/>
        <v>2970</v>
      </c>
      <c r="G26" s="51">
        <f>0.5*(F26+F27+F29)</f>
        <v>2565</v>
      </c>
      <c r="H26" s="51">
        <f t="shared" si="0"/>
        <v>3.8971143170299745</v>
      </c>
      <c r="I26" s="51">
        <f>H26+H27+H28+I29</f>
        <v>34.321954563635941</v>
      </c>
      <c r="J26" s="51">
        <f>I26*C26</f>
        <v>1132.624500599986</v>
      </c>
      <c r="K26" s="51">
        <f>J26+K29</f>
        <v>6908.8659182839883</v>
      </c>
      <c r="L26" s="51">
        <f>K26/(8*35)</f>
        <v>24.674521136728529</v>
      </c>
      <c r="M26" s="61">
        <f>IF(L26&gt;Veriler!$D$1,IF(L26&gt;Veriler!$D$2,IF(L26&gt;Veriler!$D$3,IF(L26&gt;Veriler!$D$4,IF(L26&gt;Veriler!$D$5,IF(L26&gt;Veriler!$D$6,IF(L26&gt;Veriler!$D$7,IF(L26&gt;Veriler!$D$8,"ders sorumlusuna başvur",Veriler!$A$8),Veriler!$A$7),Veriler!$A$6),Veriler!$A$5),Veriler!$A$4),Veriler!$A$3),Veriler!$A$2),Veriler!$A$1)</f>
        <v>2</v>
      </c>
      <c r="N26" s="62">
        <v>4</v>
      </c>
      <c r="O26" s="63" t="str">
        <f>VLOOKUP(N26,Veriler!A$1:C$8,2,FALSE)</f>
        <v>3xPansy + Rose/Iris</v>
      </c>
      <c r="P26" s="64" t="str">
        <f>IF(I26&lt;VLOOKUP(N26,Veriler!A$1:E$8,5,FALSE)," UYGUNDUR","KESİT AKIMI TAŞIYAMIYOR")</f>
        <v xml:space="preserve"> UYGUNDUR</v>
      </c>
    </row>
    <row r="27" spans="1:16" ht="14.4">
      <c r="A27" s="50">
        <v>94</v>
      </c>
      <c r="B27" s="51">
        <v>94</v>
      </c>
      <c r="C27" s="51">
        <v>28</v>
      </c>
      <c r="D27" s="51">
        <v>1</v>
      </c>
      <c r="E27" s="51">
        <v>45</v>
      </c>
      <c r="F27" s="51">
        <f t="shared" si="1"/>
        <v>1260</v>
      </c>
      <c r="G27" s="51">
        <f>0.5*(F27+F28)</f>
        <v>1260</v>
      </c>
      <c r="H27" s="51">
        <f t="shared" si="0"/>
        <v>1.9143719452077066</v>
      </c>
      <c r="I27" s="51"/>
      <c r="J27" s="51"/>
      <c r="K27" s="51"/>
      <c r="L27" s="51"/>
      <c r="M27" s="61">
        <f>IF(L27&gt;Veriler!$D$1,IF(L27&gt;Veriler!$D$2,IF(L27&gt;Veriler!$D$3,IF(L27&gt;Veriler!$D$4,IF(L27&gt;Veriler!$D$5,IF(L27&gt;Veriler!$D$6,IF(L27&gt;Veriler!$D$7,IF(L27&gt;Veriler!$D$8,"ders sorumlusuna başvur",Veriler!$A$8),Veriler!$A$7),Veriler!$A$6),Veriler!$A$5),Veriler!$A$4),Veriler!$A$3),Veriler!$A$2),Veriler!$A$1)</f>
        <v>1</v>
      </c>
      <c r="N27" s="62">
        <v>1</v>
      </c>
      <c r="O27" s="63" t="str">
        <f>VLOOKUP(N27,Veriler!A$1:C$8,2,FALSE)</f>
        <v>5 x Rose</v>
      </c>
      <c r="P27" s="64" t="str">
        <f>IF(I27&lt;VLOOKUP(N27,Veriler!A$1:E$8,5,FALSE)," UYGUNDUR","KESİT AKIMI TAŞIYAMIYOR")</f>
        <v xml:space="preserve"> UYGUNDUR</v>
      </c>
    </row>
    <row r="28" spans="1:16" ht="14.4">
      <c r="A28" s="50">
        <v>95</v>
      </c>
      <c r="B28" s="51">
        <v>95</v>
      </c>
      <c r="C28" s="51">
        <v>28</v>
      </c>
      <c r="D28" s="51">
        <v>1</v>
      </c>
      <c r="E28" s="51">
        <v>45</v>
      </c>
      <c r="F28" s="51">
        <f t="shared" si="1"/>
        <v>1260</v>
      </c>
      <c r="G28" s="51">
        <f>0.5*(F28)</f>
        <v>630</v>
      </c>
      <c r="H28" s="51">
        <f t="shared" si="0"/>
        <v>0.9571859726038533</v>
      </c>
      <c r="I28" s="51"/>
      <c r="J28" s="51"/>
      <c r="K28" s="51"/>
      <c r="L28" s="51"/>
      <c r="M28" s="61">
        <f>IF(L28&gt;Veriler!$D$1,IF(L28&gt;Veriler!$D$2,IF(L28&gt;Veriler!$D$3,IF(L28&gt;Veriler!$D$4,IF(L28&gt;Veriler!$D$5,IF(L28&gt;Veriler!$D$6,IF(L28&gt;Veriler!$D$7,IF(L28&gt;Veriler!$D$8,"ders sorumlusuna başvur",Veriler!$A$8),Veriler!$A$7),Veriler!$A$6),Veriler!$A$5),Veriler!$A$4),Veriler!$A$3),Veriler!$A$2),Veriler!$A$1)</f>
        <v>1</v>
      </c>
      <c r="N28" s="62">
        <v>1</v>
      </c>
      <c r="O28" s="63" t="str">
        <f>VLOOKUP(N28,Veriler!A$1:C$8,2,FALSE)</f>
        <v>5 x Rose</v>
      </c>
      <c r="P28" s="64" t="str">
        <f>IF(I28&lt;VLOOKUP(N28,Veriler!A$1:E$8,5,FALSE)," UYGUNDUR","KESİT AKIMI TAŞIYAMIYOR")</f>
        <v xml:space="preserve"> UYGUNDUR</v>
      </c>
    </row>
    <row r="29" spans="1:16" ht="14.4">
      <c r="A29" s="50">
        <v>96</v>
      </c>
      <c r="B29" s="51">
        <v>96</v>
      </c>
      <c r="C29" s="51">
        <v>20</v>
      </c>
      <c r="D29" s="51">
        <v>1</v>
      </c>
      <c r="E29" s="51">
        <v>45</v>
      </c>
      <c r="F29" s="51">
        <f t="shared" si="1"/>
        <v>900</v>
      </c>
      <c r="G29" s="51">
        <f t="shared" ref="G29:G34" si="2">0.5*(F29+F30)</f>
        <v>900</v>
      </c>
      <c r="H29" s="51">
        <f t="shared" si="0"/>
        <v>1.3674085322912191</v>
      </c>
      <c r="I29" s="51">
        <f t="shared" ref="I29:I38" si="3">H29+I30</f>
        <v>27.55328232879441</v>
      </c>
      <c r="J29" s="51">
        <f t="shared" ref="J29:J39" si="4">I29*C29</f>
        <v>551.0656465758882</v>
      </c>
      <c r="K29" s="51">
        <f t="shared" ref="K29:K38" si="5">J29+K30</f>
        <v>5776.241417684002</v>
      </c>
      <c r="L29" s="51">
        <f t="shared" ref="L29:L39" si="6">K29/(8*35)</f>
        <v>20.629433634585723</v>
      </c>
      <c r="M29" s="61">
        <f>IF(L29&gt;Veriler!$D$1,IF(L29&gt;Veriler!$D$2,IF(L29&gt;Veriler!$D$3,IF(L29&gt;Veriler!$D$4,IF(L29&gt;Veriler!$D$5,IF(L29&gt;Veriler!$D$6,IF(L29&gt;Veriler!$D$7,IF(L29&gt;Veriler!$D$8,"ders sorumlusuna başvur",Veriler!$A$8),Veriler!$A$7),Veriler!$A$6),Veriler!$A$5),Veriler!$A$4),Veriler!$A$3),Veriler!$A$2),Veriler!$A$1)</f>
        <v>1</v>
      </c>
      <c r="N29" s="62">
        <v>1</v>
      </c>
      <c r="O29" s="63" t="str">
        <f>VLOOKUP(N29,Veriler!A$1:C$8,2,FALSE)</f>
        <v>5 x Rose</v>
      </c>
      <c r="P29" s="64" t="str">
        <f>IF(I29&lt;VLOOKUP(N29,Veriler!A$1:E$8,5,FALSE)," UYGUNDUR","KESİT AKIMI TAŞIYAMIYOR")</f>
        <v xml:space="preserve"> UYGUNDUR</v>
      </c>
    </row>
    <row r="30" spans="1:16" ht="14.4">
      <c r="A30" s="50">
        <v>97</v>
      </c>
      <c r="B30" s="51">
        <v>97</v>
      </c>
      <c r="C30" s="51">
        <v>20</v>
      </c>
      <c r="D30" s="51">
        <v>1</v>
      </c>
      <c r="E30" s="51">
        <v>45</v>
      </c>
      <c r="F30" s="51">
        <f t="shared" si="1"/>
        <v>900</v>
      </c>
      <c r="G30" s="51">
        <f t="shared" si="2"/>
        <v>1080</v>
      </c>
      <c r="H30" s="51">
        <f t="shared" si="0"/>
        <v>1.6408902387494628</v>
      </c>
      <c r="I30" s="51">
        <f t="shared" si="3"/>
        <v>26.185873796503191</v>
      </c>
      <c r="J30" s="51">
        <f t="shared" si="4"/>
        <v>523.71747593006387</v>
      </c>
      <c r="K30" s="51">
        <f t="shared" si="5"/>
        <v>5225.1757711081136</v>
      </c>
      <c r="L30" s="51">
        <f t="shared" si="6"/>
        <v>18.661342039671833</v>
      </c>
      <c r="M30" s="61">
        <f>IF(L30&gt;Veriler!$D$1,IF(L30&gt;Veriler!$D$2,IF(L30&gt;Veriler!$D$3,IF(L30&gt;Veriler!$D$4,IF(L30&gt;Veriler!$D$5,IF(L30&gt;Veriler!$D$6,IF(L30&gt;Veriler!$D$7,IF(L30&gt;Veriler!$D$8,"ders sorumlusuna başvur",Veriler!$A$8),Veriler!$A$7),Veriler!$A$6),Veriler!$A$5),Veriler!$A$4),Veriler!$A$3),Veriler!$A$2),Veriler!$A$1)</f>
        <v>1</v>
      </c>
      <c r="N30" s="62">
        <v>1</v>
      </c>
      <c r="O30" s="63" t="str">
        <f>VLOOKUP(N30,Veriler!A$1:C$8,2,FALSE)</f>
        <v>5 x Rose</v>
      </c>
      <c r="P30" s="64" t="str">
        <f>IF(I30&lt;VLOOKUP(N30,Veriler!A$1:E$8,5,FALSE)," UYGUNDUR","KESİT AKIMI TAŞIYAMIYOR")</f>
        <v xml:space="preserve"> UYGUNDUR</v>
      </c>
    </row>
    <row r="31" spans="1:16" ht="14.4">
      <c r="A31" s="50">
        <v>98</v>
      </c>
      <c r="B31" s="51">
        <v>98</v>
      </c>
      <c r="C31" s="51">
        <v>28</v>
      </c>
      <c r="D31" s="51">
        <v>1</v>
      </c>
      <c r="E31" s="51">
        <v>45</v>
      </c>
      <c r="F31" s="51">
        <f t="shared" si="1"/>
        <v>1260</v>
      </c>
      <c r="G31" s="51">
        <f t="shared" si="2"/>
        <v>1530</v>
      </c>
      <c r="H31" s="51">
        <f t="shared" si="0"/>
        <v>2.3245945048950722</v>
      </c>
      <c r="I31" s="51">
        <f t="shared" si="3"/>
        <v>24.544983557753728</v>
      </c>
      <c r="J31" s="51">
        <f t="shared" si="4"/>
        <v>687.25953961710434</v>
      </c>
      <c r="K31" s="51">
        <f t="shared" si="5"/>
        <v>4701.4582951780494</v>
      </c>
      <c r="L31" s="51">
        <f t="shared" si="6"/>
        <v>16.790922482778747</v>
      </c>
      <c r="M31" s="61">
        <f>IF(L31&gt;Veriler!$D$1,IF(L31&gt;Veriler!$D$2,IF(L31&gt;Veriler!$D$3,IF(L31&gt;Veriler!$D$4,IF(L31&gt;Veriler!$D$5,IF(L31&gt;Veriler!$D$6,IF(L31&gt;Veriler!$D$7,IF(L31&gt;Veriler!$D$8,"ders sorumlusuna başvur",Veriler!$A$8),Veriler!$A$7),Veriler!$A$6),Veriler!$A$5),Veriler!$A$4),Veriler!$A$3),Veriler!$A$2),Veriler!$A$1)</f>
        <v>1</v>
      </c>
      <c r="N31" s="62">
        <v>1</v>
      </c>
      <c r="O31" s="63" t="str">
        <f>VLOOKUP(N31,Veriler!A$1:C$8,2,FALSE)</f>
        <v>5 x Rose</v>
      </c>
      <c r="P31" s="64" t="str">
        <f>IF(I31&lt;VLOOKUP(N31,Veriler!A$1:E$8,5,FALSE)," UYGUNDUR","KESİT AKIMI TAŞIYAMIYOR")</f>
        <v xml:space="preserve"> UYGUNDUR</v>
      </c>
    </row>
    <row r="32" spans="1:16" ht="14.4">
      <c r="A32" s="50">
        <v>99</v>
      </c>
      <c r="B32" s="51">
        <v>99</v>
      </c>
      <c r="C32" s="51">
        <v>40</v>
      </c>
      <c r="D32" s="51">
        <v>1</v>
      </c>
      <c r="E32" s="51">
        <v>45</v>
      </c>
      <c r="F32" s="51">
        <f t="shared" si="1"/>
        <v>1800</v>
      </c>
      <c r="G32" s="51">
        <f t="shared" si="2"/>
        <v>1462.5</v>
      </c>
      <c r="H32" s="51">
        <f t="shared" si="0"/>
        <v>2.2220388649732308</v>
      </c>
      <c r="I32" s="51">
        <f t="shared" si="3"/>
        <v>22.220389052858657</v>
      </c>
      <c r="J32" s="51">
        <f t="shared" si="4"/>
        <v>888.81556211434622</v>
      </c>
      <c r="K32" s="51">
        <f t="shared" si="5"/>
        <v>4014.1987555609448</v>
      </c>
      <c r="L32" s="51">
        <f t="shared" si="6"/>
        <v>14.336424127003374</v>
      </c>
      <c r="M32" s="61">
        <f>IF(L32&gt;Veriler!$D$1,IF(L32&gt;Veriler!$D$2,IF(L32&gt;Veriler!$D$3,IF(L32&gt;Veriler!$D$4,IF(L32&gt;Veriler!$D$5,IF(L32&gt;Veriler!$D$6,IF(L32&gt;Veriler!$D$7,IF(L32&gt;Veriler!$D$8,"ders sorumlusuna başvur",Veriler!$A$8),Veriler!$A$7),Veriler!$A$6),Veriler!$A$5),Veriler!$A$4),Veriler!$A$3),Veriler!$A$2),Veriler!$A$1)</f>
        <v>1</v>
      </c>
      <c r="N32" s="62">
        <v>1</v>
      </c>
      <c r="O32" s="63" t="str">
        <f>VLOOKUP(N32,Veriler!A$1:C$8,2,FALSE)</f>
        <v>5 x Rose</v>
      </c>
      <c r="P32" s="64" t="str">
        <f>IF(I32&lt;VLOOKUP(N32,Veriler!A$1:E$8,5,FALSE)," UYGUNDUR","KESİT AKIMI TAŞIYAMIYOR")</f>
        <v xml:space="preserve"> UYGUNDUR</v>
      </c>
    </row>
    <row r="33" spans="1:17" ht="14.4">
      <c r="A33" s="50">
        <v>100</v>
      </c>
      <c r="B33" s="51">
        <v>100</v>
      </c>
      <c r="C33" s="51">
        <v>25</v>
      </c>
      <c r="D33" s="51">
        <v>1</v>
      </c>
      <c r="E33" s="51">
        <v>45</v>
      </c>
      <c r="F33" s="51">
        <f t="shared" si="1"/>
        <v>1125</v>
      </c>
      <c r="G33" s="51">
        <f t="shared" si="2"/>
        <v>1462.5</v>
      </c>
      <c r="H33" s="51">
        <f t="shared" si="0"/>
        <v>2.2220388649732308</v>
      </c>
      <c r="I33" s="51">
        <f t="shared" si="3"/>
        <v>19.998350187885425</v>
      </c>
      <c r="J33" s="51">
        <f t="shared" si="4"/>
        <v>499.95875469713565</v>
      </c>
      <c r="K33" s="51">
        <f t="shared" si="5"/>
        <v>3125.3831934465989</v>
      </c>
      <c r="L33" s="51">
        <f t="shared" si="6"/>
        <v>11.162082833737854</v>
      </c>
      <c r="M33" s="61">
        <f>IF(L33&gt;Veriler!$D$1,IF(L33&gt;Veriler!$D$2,IF(L33&gt;Veriler!$D$3,IF(L33&gt;Veriler!$D$4,IF(L33&gt;Veriler!$D$5,IF(L33&gt;Veriler!$D$6,IF(L33&gt;Veriler!$D$7,IF(L33&gt;Veriler!$D$8,"ders sorumlusuna başvur",Veriler!$A$8),Veriler!$A$7),Veriler!$A$6),Veriler!$A$5),Veriler!$A$4),Veriler!$A$3),Veriler!$A$2),Veriler!$A$1)</f>
        <v>1</v>
      </c>
      <c r="N33" s="62">
        <v>1</v>
      </c>
      <c r="O33" s="63" t="str">
        <f>VLOOKUP(N33,Veriler!A$1:C$8,2,FALSE)</f>
        <v>5 x Rose</v>
      </c>
      <c r="P33" s="64" t="str">
        <f>IF(I33&lt;VLOOKUP(N33,Veriler!A$1:E$8,5,FALSE)," UYGUNDUR","KESİT AKIMI TAŞIYAMIYOR")</f>
        <v xml:space="preserve"> UYGUNDUR</v>
      </c>
    </row>
    <row r="34" spans="1:17" ht="14.4">
      <c r="A34" s="50">
        <v>101</v>
      </c>
      <c r="B34" s="51">
        <v>101</v>
      </c>
      <c r="C34" s="51">
        <v>40</v>
      </c>
      <c r="D34" s="51">
        <v>1</v>
      </c>
      <c r="E34" s="51">
        <v>45</v>
      </c>
      <c r="F34" s="51">
        <f t="shared" si="1"/>
        <v>1800</v>
      </c>
      <c r="G34" s="51">
        <f t="shared" si="2"/>
        <v>1800</v>
      </c>
      <c r="H34" s="51">
        <f t="shared" si="0"/>
        <v>2.7348170645824381</v>
      </c>
      <c r="I34" s="51">
        <f t="shared" si="3"/>
        <v>17.776311322912193</v>
      </c>
      <c r="J34" s="51">
        <f t="shared" si="4"/>
        <v>711.05245291648771</v>
      </c>
      <c r="K34" s="51">
        <f t="shared" si="5"/>
        <v>2625.4244387494632</v>
      </c>
      <c r="L34" s="51">
        <f t="shared" si="6"/>
        <v>9.3765158526766541</v>
      </c>
      <c r="M34" s="61">
        <f>IF(L34&gt;Veriler!$D$1,IF(L34&gt;Veriler!$D$2,IF(L34&gt;Veriler!$D$3,IF(L34&gt;Veriler!$D$4,IF(L34&gt;Veriler!$D$5,IF(L34&gt;Veriler!$D$6,IF(L34&gt;Veriler!$D$7,IF(L34&gt;Veriler!$D$8,"ders sorumlusuna başvur",Veriler!$A$8),Veriler!$A$7),Veriler!$A$6),Veriler!$A$5),Veriler!$A$4),Veriler!$A$3),Veriler!$A$2),Veriler!$A$1)</f>
        <v>1</v>
      </c>
      <c r="N34" s="62">
        <v>1</v>
      </c>
      <c r="O34" s="63" t="str">
        <f>VLOOKUP(N34,Veriler!A$1:C$8,2,FALSE)</f>
        <v>5 x Rose</v>
      </c>
      <c r="P34" s="64" t="str">
        <f>IF(I34&lt;VLOOKUP(N34,Veriler!A$1:E$8,5,FALSE)," UYGUNDUR","KESİT AKIMI TAŞIYAMIYOR")</f>
        <v xml:space="preserve"> UYGUNDUR</v>
      </c>
    </row>
    <row r="35" spans="1:17" ht="14.4">
      <c r="A35" s="50">
        <v>102</v>
      </c>
      <c r="B35" s="51">
        <v>102</v>
      </c>
      <c r="C35" s="51">
        <v>40</v>
      </c>
      <c r="D35" s="51">
        <v>1</v>
      </c>
      <c r="E35" s="51">
        <v>45</v>
      </c>
      <c r="F35" s="51">
        <f t="shared" si="1"/>
        <v>1800</v>
      </c>
      <c r="G35" s="51">
        <f t="shared" ref="G35:G38" si="7">0.5*(F35+F36)</f>
        <v>1800</v>
      </c>
      <c r="H35" s="51">
        <f t="shared" si="0"/>
        <v>2.7348170645824381</v>
      </c>
      <c r="I35" s="51">
        <f t="shared" si="3"/>
        <v>15.041494258329754</v>
      </c>
      <c r="J35" s="51">
        <f t="shared" si="4"/>
        <v>601.65977033319018</v>
      </c>
      <c r="K35" s="51">
        <f t="shared" si="5"/>
        <v>1914.3719858329755</v>
      </c>
      <c r="L35" s="51">
        <f t="shared" si="6"/>
        <v>6.8370428065463411</v>
      </c>
      <c r="M35" s="61">
        <f>IF(L35&gt;Veriler!$D$1,IF(L35&gt;Veriler!$D$2,IF(L35&gt;Veriler!$D$3,IF(L35&gt;Veriler!$D$4,IF(L35&gt;Veriler!$D$5,IF(L35&gt;Veriler!$D$6,IF(L35&gt;Veriler!$D$7,IF(L35&gt;Veriler!$D$8,"ders sorumlusuna başvur",Veriler!$A$8),Veriler!$A$7),Veriler!$A$6),Veriler!$A$5),Veriler!$A$4),Veriler!$A$3),Veriler!$A$2),Veriler!$A$1)</f>
        <v>1</v>
      </c>
      <c r="N35" s="62">
        <v>1</v>
      </c>
      <c r="O35" s="63" t="str">
        <f>VLOOKUP(N35,Veriler!A$1:C$8,2,FALSE)</f>
        <v>5 x Rose</v>
      </c>
      <c r="P35" s="64" t="str">
        <f>IF(I35&lt;VLOOKUP(N35,Veriler!A$1:E$8,5,FALSE)," UYGUNDUR","KESİT AKIMI TAŞIYAMIYOR")</f>
        <v xml:space="preserve"> UYGUNDUR</v>
      </c>
    </row>
    <row r="36" spans="1:17" ht="14.4">
      <c r="A36" s="50">
        <v>103</v>
      </c>
      <c r="B36" s="51">
        <v>103</v>
      </c>
      <c r="C36" s="51">
        <v>40</v>
      </c>
      <c r="D36" s="51">
        <v>1</v>
      </c>
      <c r="E36" s="51">
        <v>45</v>
      </c>
      <c r="F36" s="51">
        <f t="shared" si="1"/>
        <v>1800</v>
      </c>
      <c r="G36" s="51">
        <f t="shared" si="7"/>
        <v>1800</v>
      </c>
      <c r="H36" s="51">
        <f t="shared" si="0"/>
        <v>2.7348170645824381</v>
      </c>
      <c r="I36" s="51">
        <f t="shared" si="3"/>
        <v>12.306677193747316</v>
      </c>
      <c r="J36" s="51">
        <f t="shared" si="4"/>
        <v>492.26708774989265</v>
      </c>
      <c r="K36" s="51">
        <f t="shared" si="5"/>
        <v>1312.7122154997853</v>
      </c>
      <c r="L36" s="51">
        <f t="shared" si="6"/>
        <v>4.6882579124992336</v>
      </c>
      <c r="M36" s="61">
        <f>IF(L36&gt;Veriler!$D$1,IF(L36&gt;Veriler!$D$2,IF(L36&gt;Veriler!$D$3,IF(L36&gt;Veriler!$D$4,IF(L36&gt;Veriler!$D$5,IF(L36&gt;Veriler!$D$6,IF(L36&gt;Veriler!$D$7,IF(L36&gt;Veriler!$D$8,"ders sorumlusuna başvur",Veriler!$A$8),Veriler!$A$7),Veriler!$A$6),Veriler!$A$5),Veriler!$A$4),Veriler!$A$3),Veriler!$A$2),Veriler!$A$1)</f>
        <v>1</v>
      </c>
      <c r="N36" s="62">
        <v>1</v>
      </c>
      <c r="O36" s="63" t="str">
        <f>VLOOKUP(N36,Veriler!A$1:C$8,2,FALSE)</f>
        <v>5 x Rose</v>
      </c>
      <c r="P36" s="64" t="str">
        <f>IF(I36&lt;VLOOKUP(N36,Veriler!A$1:E$8,5,FALSE)," UYGUNDUR","KESİT AKIMI TAŞIYAMIYOR")</f>
        <v xml:space="preserve"> UYGUNDUR</v>
      </c>
    </row>
    <row r="37" spans="1:17" ht="14.4">
      <c r="A37" s="50">
        <v>104</v>
      </c>
      <c r="B37" s="51">
        <v>104</v>
      </c>
      <c r="C37" s="51">
        <v>40</v>
      </c>
      <c r="D37" s="51">
        <v>1</v>
      </c>
      <c r="E37" s="51">
        <v>45</v>
      </c>
      <c r="F37" s="51">
        <f t="shared" si="1"/>
        <v>1800</v>
      </c>
      <c r="G37" s="51">
        <f t="shared" si="7"/>
        <v>1800</v>
      </c>
      <c r="H37" s="51">
        <f t="shared" si="0"/>
        <v>2.7348170645824381</v>
      </c>
      <c r="I37" s="51">
        <f t="shared" si="3"/>
        <v>9.5718601291648771</v>
      </c>
      <c r="J37" s="51">
        <f t="shared" si="4"/>
        <v>382.87440516659507</v>
      </c>
      <c r="K37" s="51">
        <f t="shared" si="5"/>
        <v>820.44512774989266</v>
      </c>
      <c r="L37" s="51">
        <f t="shared" si="6"/>
        <v>2.9301611705353308</v>
      </c>
      <c r="M37" s="61">
        <f>IF(L37&gt;Veriler!$D$1,IF(L37&gt;Veriler!$D$2,IF(L37&gt;Veriler!$D$3,IF(L37&gt;Veriler!$D$4,IF(L37&gt;Veriler!$D$5,IF(L37&gt;Veriler!$D$6,IF(L37&gt;Veriler!$D$7,IF(L37&gt;Veriler!$D$8,"ders sorumlusuna başvur",Veriler!$A$8),Veriler!$A$7),Veriler!$A$6),Veriler!$A$5),Veriler!$A$4),Veriler!$A$3),Veriler!$A$2),Veriler!$A$1)</f>
        <v>1</v>
      </c>
      <c r="N37" s="62">
        <v>1</v>
      </c>
      <c r="O37" s="63" t="str">
        <f>VLOOKUP(N37,Veriler!A$1:C$8,2,FALSE)</f>
        <v>5 x Rose</v>
      </c>
      <c r="P37" s="64" t="str">
        <f>IF(I37&lt;VLOOKUP(N37,Veriler!A$1:E$8,5,FALSE)," UYGUNDUR","KESİT AKIMI TAŞIYAMIYOR")</f>
        <v xml:space="preserve"> UYGUNDUR</v>
      </c>
    </row>
    <row r="38" spans="1:17" ht="14.4">
      <c r="A38" s="50">
        <v>105</v>
      </c>
      <c r="B38" s="51">
        <v>105</v>
      </c>
      <c r="C38" s="51">
        <v>40</v>
      </c>
      <c r="D38" s="51">
        <v>1</v>
      </c>
      <c r="E38" s="51">
        <v>45</v>
      </c>
      <c r="F38" s="51">
        <f t="shared" si="1"/>
        <v>1800</v>
      </c>
      <c r="G38" s="51">
        <f t="shared" si="7"/>
        <v>1800</v>
      </c>
      <c r="H38" s="51">
        <f t="shared" si="0"/>
        <v>2.7348170645824381</v>
      </c>
      <c r="I38" s="51">
        <f t="shared" si="3"/>
        <v>6.8370430645824385</v>
      </c>
      <c r="J38" s="51">
        <f t="shared" si="4"/>
        <v>273.48172258329754</v>
      </c>
      <c r="K38" s="51">
        <f t="shared" si="5"/>
        <v>437.57072258329754</v>
      </c>
      <c r="L38" s="51">
        <f t="shared" si="6"/>
        <v>1.5627525806546341</v>
      </c>
      <c r="M38" s="61">
        <f>IF(L38&gt;Veriler!$D$1,IF(L38&gt;Veriler!$D$2,IF(L38&gt;Veriler!$D$3,IF(L38&gt;Veriler!$D$4,IF(L38&gt;Veriler!$D$5,IF(L38&gt;Veriler!$D$6,IF(L38&gt;Veriler!$D$7,IF(L38&gt;Veriler!$D$8,"ders sorumlusuna başvur",Veriler!$A$8),Veriler!$A$7),Veriler!$A$6),Veriler!$A$5),Veriler!$A$4),Veriler!$A$3),Veriler!$A$2),Veriler!$A$1)</f>
        <v>1</v>
      </c>
      <c r="N38" s="62">
        <v>1</v>
      </c>
      <c r="O38" s="63" t="str">
        <f>VLOOKUP(N38,Veriler!A$1:C$8,2,FALSE)</f>
        <v>5 x Rose</v>
      </c>
      <c r="P38" s="64" t="str">
        <f>IF(I38&lt;VLOOKUP(N38,Veriler!A$1:E$8,5,FALSE)," UYGUNDUR","KESİT AKIMI TAŞIYAMIYOR")</f>
        <v xml:space="preserve"> UYGUNDUR</v>
      </c>
    </row>
    <row r="39" spans="1:17" ht="14.4">
      <c r="A39" s="52">
        <v>106</v>
      </c>
      <c r="B39" s="53">
        <v>106</v>
      </c>
      <c r="C39" s="53">
        <v>40</v>
      </c>
      <c r="D39" s="51">
        <v>1</v>
      </c>
      <c r="E39" s="53">
        <v>45</v>
      </c>
      <c r="F39" s="53">
        <f t="shared" si="1"/>
        <v>1800</v>
      </c>
      <c r="G39" s="53">
        <f>0.5*(F39)</f>
        <v>900</v>
      </c>
      <c r="H39" s="53">
        <f t="shared" si="0"/>
        <v>1.3674085322912191</v>
      </c>
      <c r="I39" s="53">
        <v>4.1022259999999999</v>
      </c>
      <c r="J39" s="53">
        <f t="shared" si="4"/>
        <v>164.08904000000001</v>
      </c>
      <c r="K39" s="53">
        <v>164.089</v>
      </c>
      <c r="L39" s="53">
        <f t="shared" si="6"/>
        <v>0.586032142857143</v>
      </c>
      <c r="M39" s="65">
        <f>IF(L39&gt;Veriler!$D$1,IF(L39&gt;Veriler!$D$2,IF(L39&gt;Veriler!$D$3,IF(L39&gt;Veriler!$D$4,IF(L39&gt;Veriler!$D$5,IF(L39&gt;Veriler!$D$6,IF(L39&gt;Veriler!$D$7,IF(L39&gt;Veriler!$D$8,"ders sorumlusuna başvur",Veriler!$A$8),Veriler!$A$7),Veriler!$A$6),Veriler!$A$5),Veriler!$A$4),Veriler!$A$3),Veriler!$A$2),Veriler!$A$1)</f>
        <v>1</v>
      </c>
      <c r="N39" s="66">
        <v>1</v>
      </c>
      <c r="O39" s="67" t="str">
        <f>VLOOKUP(N39,Veriler!A$1:C$8,2,FALSE)</f>
        <v>5 x Rose</v>
      </c>
      <c r="P39" s="68" t="str">
        <f>IF(I39&lt;VLOOKUP(N39,Veriler!A$1:E$8,5,FALSE)," UYGUNDUR","KESİT AKIMI TAŞIYAMIYOR")</f>
        <v>UYGUNDUR</v>
      </c>
    </row>
    <row r="40" spans="1:17" ht="14.4">
      <c r="L40" s="69"/>
      <c r="M40" s="70"/>
      <c r="N40" s="71"/>
      <c r="O40" s="72"/>
      <c r="P40" s="72"/>
      <c r="Q40" s="69"/>
    </row>
    <row r="41" spans="1:17" ht="14.4">
      <c r="L41" s="69"/>
      <c r="M41" s="70"/>
      <c r="N41" s="71"/>
      <c r="O41" s="72"/>
      <c r="P41" s="72"/>
      <c r="Q41" s="69"/>
    </row>
    <row r="42" spans="1:17" ht="14.4">
      <c r="L42" s="69"/>
      <c r="M42" s="70"/>
      <c r="N42" s="71"/>
      <c r="O42" s="72"/>
      <c r="P42" s="72"/>
      <c r="Q42" s="69"/>
    </row>
    <row r="43" spans="1:17" ht="14.4">
      <c r="L43" s="69"/>
      <c r="M43" s="70"/>
      <c r="N43" s="71"/>
      <c r="O43" s="72"/>
      <c r="P43" s="72"/>
      <c r="Q43" s="69"/>
    </row>
    <row r="44" spans="1:17" ht="14.4">
      <c r="L44" s="69"/>
      <c r="M44" s="70"/>
      <c r="N44" s="71"/>
      <c r="O44" s="72"/>
      <c r="P44" s="72"/>
      <c r="Q44" s="69"/>
    </row>
    <row r="45" spans="1:17">
      <c r="L45" s="69"/>
      <c r="M45" s="69"/>
      <c r="N45" s="69"/>
      <c r="O45" s="73"/>
      <c r="P45" s="73"/>
      <c r="Q45" s="69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AutoCAD.Drawing.24" shapeId="3073" r:id="rId3">
          <objectPr defaultSize="0" r:id="rId4">
            <anchor moveWithCells="1">
              <from>
                <xdr:col>1</xdr:col>
                <xdr:colOff>30480</xdr:colOff>
                <xdr:row>39</xdr:row>
                <xdr:rowOff>121920</xdr:rowOff>
              </from>
              <to>
                <xdr:col>20</xdr:col>
                <xdr:colOff>495300</xdr:colOff>
                <xdr:row>76</xdr:row>
                <xdr:rowOff>53340</xdr:rowOff>
              </to>
            </anchor>
          </objectPr>
        </oleObject>
      </mc:Choice>
      <mc:Fallback>
        <oleObject progId="AutoCAD.Drawing.24" shapeId="3073" r:id="rId3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G23" sqref="G23"/>
    </sheetView>
  </sheetViews>
  <sheetFormatPr defaultRowHeight="13.8"/>
  <sheetData>
    <row r="1" spans="1:15" ht="26.4">
      <c r="A1" s="87" t="s">
        <v>65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spans="1:15" ht="86.4">
      <c r="A2" s="89" t="s">
        <v>66</v>
      </c>
      <c r="B2" s="90"/>
      <c r="C2" s="91"/>
      <c r="D2" s="91"/>
      <c r="E2" s="91"/>
      <c r="F2" s="91"/>
      <c r="G2" s="91"/>
      <c r="H2" s="91"/>
      <c r="I2" s="91">
        <v>25</v>
      </c>
      <c r="J2" s="91"/>
      <c r="K2" s="92">
        <v>646</v>
      </c>
      <c r="L2" s="93"/>
      <c r="M2" s="91">
        <v>308.5</v>
      </c>
      <c r="N2" s="91"/>
      <c r="O2" s="62">
        <v>186.5</v>
      </c>
    </row>
    <row r="3" spans="1:15" ht="14.4">
      <c r="A3" s="94" t="s">
        <v>67</v>
      </c>
      <c r="B3" s="91"/>
      <c r="C3" s="91"/>
      <c r="D3" s="91"/>
      <c r="E3" s="91"/>
      <c r="F3" s="91"/>
      <c r="G3" s="91"/>
      <c r="H3" s="92">
        <f t="shared" ref="H3" si="0">J3+I2</f>
        <v>1166</v>
      </c>
      <c r="I3" s="95"/>
      <c r="J3" s="92">
        <f t="shared" ref="J3" si="1">L3+K2</f>
        <v>1141</v>
      </c>
      <c r="K3" s="95"/>
      <c r="L3" s="92">
        <f>N3+M2</f>
        <v>495</v>
      </c>
      <c r="M3" s="95"/>
      <c r="N3" s="91">
        <v>186.5</v>
      </c>
      <c r="O3" s="91"/>
    </row>
    <row r="4" spans="1:15" ht="14.4">
      <c r="A4" s="94" t="s">
        <v>68</v>
      </c>
      <c r="B4" s="91"/>
      <c r="C4" s="91"/>
      <c r="D4" s="91"/>
      <c r="E4" s="91"/>
      <c r="F4" s="91"/>
      <c r="G4" s="91"/>
      <c r="H4" s="91">
        <v>45</v>
      </c>
      <c r="I4" s="91"/>
      <c r="J4" s="91">
        <v>45</v>
      </c>
      <c r="K4" s="91"/>
      <c r="L4" s="91">
        <v>45</v>
      </c>
      <c r="M4" s="91"/>
      <c r="N4" s="91">
        <v>45</v>
      </c>
      <c r="O4" s="91"/>
    </row>
    <row r="5" spans="1:15" ht="14.4">
      <c r="A5" s="94" t="s">
        <v>69</v>
      </c>
      <c r="B5" s="91"/>
      <c r="C5" s="91"/>
      <c r="D5" s="91"/>
      <c r="E5" s="91"/>
      <c r="F5" s="91"/>
      <c r="G5" s="91"/>
      <c r="H5" s="91">
        <v>3.54</v>
      </c>
      <c r="I5" s="91"/>
      <c r="J5" s="91">
        <v>2.33</v>
      </c>
      <c r="K5" s="91"/>
      <c r="L5" s="91">
        <v>4.67</v>
      </c>
      <c r="M5" s="91"/>
      <c r="N5" s="91">
        <v>9.36</v>
      </c>
      <c r="O5" s="91"/>
    </row>
    <row r="6" spans="1:15" ht="14.4">
      <c r="A6" s="94" t="s">
        <v>70</v>
      </c>
      <c r="B6" s="91"/>
      <c r="C6" s="91"/>
      <c r="D6" s="91"/>
      <c r="E6" s="91"/>
      <c r="F6" s="91"/>
      <c r="G6" s="91"/>
      <c r="H6" s="91">
        <f>H5*H4*H3*10*10^-7</f>
        <v>0.18574380000000001</v>
      </c>
      <c r="I6" s="91"/>
      <c r="J6" s="91">
        <f>J5*J4*J3*10^-7*50</f>
        <v>0.59816924999999999</v>
      </c>
      <c r="K6" s="91"/>
      <c r="L6" s="91">
        <f>L5*L4*L3*10^-7*132</f>
        <v>1.3731201</v>
      </c>
      <c r="M6" s="91"/>
      <c r="N6" s="91">
        <f>N5*N4*N3*10^-7*373</f>
        <v>2.9300567399999999</v>
      </c>
      <c r="O6" s="91"/>
    </row>
    <row r="7" spans="1:15" s="74" customFormat="1" ht="14.4">
      <c r="A7" s="94"/>
      <c r="B7" s="88" t="s">
        <v>72</v>
      </c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</row>
  </sheetData>
  <mergeCells count="36">
    <mergeCell ref="B7:O7"/>
    <mergeCell ref="N5:O5"/>
    <mergeCell ref="B6:C6"/>
    <mergeCell ref="D6:E6"/>
    <mergeCell ref="F6:G6"/>
    <mergeCell ref="H6:I6"/>
    <mergeCell ref="J6:K6"/>
    <mergeCell ref="L6:M6"/>
    <mergeCell ref="N6:O6"/>
    <mergeCell ref="B5:C5"/>
    <mergeCell ref="D5:E5"/>
    <mergeCell ref="F5:G5"/>
    <mergeCell ref="H5:I5"/>
    <mergeCell ref="J5:K5"/>
    <mergeCell ref="L5:M5"/>
    <mergeCell ref="N3:O3"/>
    <mergeCell ref="B4:C4"/>
    <mergeCell ref="D4:E4"/>
    <mergeCell ref="F4:G4"/>
    <mergeCell ref="H4:I4"/>
    <mergeCell ref="J4:K4"/>
    <mergeCell ref="L4:M4"/>
    <mergeCell ref="N4:O4"/>
    <mergeCell ref="B3:C3"/>
    <mergeCell ref="D3:E3"/>
    <mergeCell ref="F3:G3"/>
    <mergeCell ref="H3:I3"/>
    <mergeCell ref="J3:K3"/>
    <mergeCell ref="L3:M3"/>
    <mergeCell ref="B1:O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selection activeCell="G14" sqref="G14"/>
    </sheetView>
  </sheetViews>
  <sheetFormatPr defaultRowHeight="13.8"/>
  <sheetData>
    <row r="1" spans="1:19" ht="26.4">
      <c r="A1" s="125" t="s">
        <v>65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</row>
    <row r="2" spans="1:19" ht="82.8">
      <c r="A2" s="126" t="s">
        <v>66</v>
      </c>
      <c r="B2" s="124">
        <v>125</v>
      </c>
      <c r="C2" s="124">
        <v>125</v>
      </c>
      <c r="D2" s="124">
        <v>2375</v>
      </c>
      <c r="E2" s="124">
        <v>125</v>
      </c>
      <c r="F2" s="124">
        <v>125</v>
      </c>
      <c r="G2" s="124">
        <v>125</v>
      </c>
      <c r="H2" s="124">
        <v>375</v>
      </c>
      <c r="I2" s="124">
        <v>125</v>
      </c>
      <c r="J2" s="124">
        <v>125</v>
      </c>
      <c r="K2" s="124">
        <v>125</v>
      </c>
      <c r="L2" s="124">
        <v>125</v>
      </c>
      <c r="M2" s="124">
        <v>125</v>
      </c>
      <c r="N2" s="124">
        <v>125</v>
      </c>
      <c r="O2" s="124">
        <v>125</v>
      </c>
      <c r="P2" s="124">
        <v>125</v>
      </c>
      <c r="Q2" s="124">
        <v>125</v>
      </c>
      <c r="R2" s="124">
        <v>125</v>
      </c>
      <c r="S2" s="124">
        <v>125</v>
      </c>
    </row>
    <row r="3" spans="1:19">
      <c r="A3" s="127" t="s">
        <v>67</v>
      </c>
      <c r="B3" s="124">
        <v>4750</v>
      </c>
      <c r="C3" s="124">
        <v>4625</v>
      </c>
      <c r="D3" s="124">
        <v>4500</v>
      </c>
      <c r="E3" s="124">
        <v>2125</v>
      </c>
      <c r="F3" s="124">
        <v>2000</v>
      </c>
      <c r="G3" s="124">
        <v>1875</v>
      </c>
      <c r="H3" s="124">
        <v>1750</v>
      </c>
      <c r="I3" s="124">
        <v>1375</v>
      </c>
      <c r="J3" s="124">
        <v>1250</v>
      </c>
      <c r="K3" s="124">
        <v>1125</v>
      </c>
      <c r="L3" s="124">
        <v>1000</v>
      </c>
      <c r="M3" s="124">
        <v>875</v>
      </c>
      <c r="N3" s="124">
        <v>750</v>
      </c>
      <c r="O3" s="128">
        <v>625</v>
      </c>
      <c r="P3" s="128">
        <v>500</v>
      </c>
      <c r="Q3" s="128">
        <v>375</v>
      </c>
      <c r="R3" s="128">
        <v>250</v>
      </c>
      <c r="S3" s="128">
        <v>125</v>
      </c>
    </row>
    <row r="4" spans="1:19">
      <c r="A4" s="127" t="s">
        <v>79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8"/>
      <c r="P4" s="128"/>
      <c r="Q4" s="128"/>
      <c r="R4" s="128"/>
      <c r="S4" s="128"/>
    </row>
    <row r="5" spans="1:19">
      <c r="A5" s="127" t="s">
        <v>70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8"/>
      <c r="P5" s="128"/>
      <c r="Q5" s="128"/>
      <c r="R5" s="128"/>
      <c r="S5" s="128"/>
    </row>
    <row r="6" spans="1:19">
      <c r="A6" s="127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</row>
  </sheetData>
  <mergeCells count="2">
    <mergeCell ref="B1:S1"/>
    <mergeCell ref="B6:S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selection activeCell="H3" sqref="H3"/>
    </sheetView>
  </sheetViews>
  <sheetFormatPr defaultRowHeight="13.8"/>
  <cols>
    <col min="1" max="1" width="13.69921875" customWidth="1"/>
    <col min="2" max="2" width="16.296875" customWidth="1"/>
    <col min="3" max="3" width="12.8984375" customWidth="1"/>
    <col min="4" max="4" width="14.09765625" customWidth="1"/>
    <col min="5" max="5" width="13" customWidth="1"/>
    <col min="6" max="6" width="16.3984375" customWidth="1"/>
    <col min="7" max="7" width="13.59765625" customWidth="1"/>
  </cols>
  <sheetData>
    <row r="1" spans="1:7" ht="41.4">
      <c r="A1" s="107" t="s">
        <v>9</v>
      </c>
      <c r="B1" s="107" t="s">
        <v>10</v>
      </c>
      <c r="C1" s="107" t="s">
        <v>11</v>
      </c>
      <c r="D1" s="107" t="s">
        <v>12</v>
      </c>
      <c r="E1" s="107" t="s">
        <v>13</v>
      </c>
      <c r="F1" s="107" t="s">
        <v>14</v>
      </c>
      <c r="G1" s="107" t="s">
        <v>15</v>
      </c>
    </row>
    <row r="2" spans="1:7">
      <c r="A2" s="107"/>
      <c r="B2" s="107"/>
      <c r="C2" s="107"/>
      <c r="D2" s="107"/>
      <c r="E2" s="107"/>
      <c r="F2" s="107"/>
      <c r="G2" s="107"/>
    </row>
    <row r="3" spans="1:7" ht="55.2">
      <c r="A3" s="107">
        <v>3921.8986067559108</v>
      </c>
      <c r="B3" s="107">
        <v>18915.806818692548</v>
      </c>
      <c r="C3" s="107">
        <v>67.556452923901958</v>
      </c>
      <c r="D3" s="107">
        <v>7</v>
      </c>
      <c r="E3" s="107">
        <v>7</v>
      </c>
      <c r="F3" s="107" t="s">
        <v>45</v>
      </c>
      <c r="G3" s="107" t="s">
        <v>27</v>
      </c>
    </row>
    <row r="4" spans="1:7" ht="55.2">
      <c r="A4" s="107">
        <v>3793.704056853609</v>
      </c>
      <c r="B4" s="107">
        <v>14993.908211936638</v>
      </c>
      <c r="C4" s="107">
        <v>53.549672185487992</v>
      </c>
      <c r="D4" s="107">
        <v>6</v>
      </c>
      <c r="E4" s="107">
        <v>7</v>
      </c>
      <c r="F4" s="107" t="s">
        <v>45</v>
      </c>
      <c r="G4" s="107" t="s">
        <v>27</v>
      </c>
    </row>
    <row r="5" spans="1:7" ht="41.4">
      <c r="A5" s="107"/>
      <c r="B5" s="107"/>
      <c r="C5" s="107"/>
      <c r="D5" s="107">
        <v>1</v>
      </c>
      <c r="E5" s="107">
        <v>1</v>
      </c>
      <c r="F5" s="107" t="s">
        <v>28</v>
      </c>
      <c r="G5" s="107" t="s">
        <v>27</v>
      </c>
    </row>
    <row r="6" spans="1:7" ht="41.4">
      <c r="A6" s="107"/>
      <c r="B6" s="107"/>
      <c r="C6" s="107"/>
      <c r="D6" s="107">
        <v>1</v>
      </c>
      <c r="E6" s="107">
        <v>1</v>
      </c>
      <c r="F6" s="107" t="s">
        <v>28</v>
      </c>
      <c r="G6" s="107" t="s">
        <v>27</v>
      </c>
    </row>
    <row r="7" spans="1:7" ht="27.6">
      <c r="A7" s="107"/>
      <c r="B7" s="107"/>
      <c r="C7" s="107"/>
      <c r="D7" s="107">
        <v>1</v>
      </c>
      <c r="E7" s="107">
        <v>1</v>
      </c>
      <c r="F7" s="107" t="s">
        <v>28</v>
      </c>
      <c r="G7" s="107" t="s">
        <v>19</v>
      </c>
    </row>
    <row r="8" spans="1:7" ht="27.6">
      <c r="A8" s="107"/>
      <c r="B8" s="107"/>
      <c r="C8" s="107"/>
      <c r="D8" s="107">
        <v>1</v>
      </c>
      <c r="E8" s="107">
        <v>1</v>
      </c>
      <c r="F8" s="107" t="s">
        <v>28</v>
      </c>
      <c r="G8" s="107" t="s">
        <v>19</v>
      </c>
    </row>
    <row r="9" spans="1:7" ht="27.6">
      <c r="A9" s="107"/>
      <c r="B9" s="107"/>
      <c r="C9" s="107"/>
      <c r="D9" s="107">
        <v>1</v>
      </c>
      <c r="E9" s="107">
        <v>1</v>
      </c>
      <c r="F9" s="107" t="s">
        <v>28</v>
      </c>
      <c r="G9" s="107" t="s">
        <v>19</v>
      </c>
    </row>
    <row r="10" spans="1:7" ht="27.6">
      <c r="A10" s="107"/>
      <c r="B10" s="107"/>
      <c r="C10" s="107"/>
      <c r="D10" s="107">
        <v>1</v>
      </c>
      <c r="E10" s="107">
        <v>1</v>
      </c>
      <c r="F10" s="107" t="s">
        <v>28</v>
      </c>
      <c r="G10" s="107" t="s">
        <v>19</v>
      </c>
    </row>
    <row r="11" spans="1:7" ht="41.4">
      <c r="A11" s="107"/>
      <c r="B11" s="107"/>
      <c r="C11" s="107"/>
      <c r="D11" s="107">
        <v>1</v>
      </c>
      <c r="E11" s="107">
        <v>1</v>
      </c>
      <c r="F11" s="107" t="s">
        <v>28</v>
      </c>
      <c r="G11" s="107" t="s">
        <v>27</v>
      </c>
    </row>
    <row r="12" spans="1:7" ht="27.6">
      <c r="A12" s="107"/>
      <c r="B12" s="107"/>
      <c r="C12" s="107"/>
      <c r="D12" s="107">
        <v>1</v>
      </c>
      <c r="E12" s="107">
        <v>1</v>
      </c>
      <c r="F12" s="107" t="s">
        <v>28</v>
      </c>
      <c r="G12" s="107" t="s">
        <v>19</v>
      </c>
    </row>
    <row r="13" spans="1:7" ht="27.6">
      <c r="A13" s="107"/>
      <c r="B13" s="107"/>
      <c r="C13" s="107"/>
      <c r="D13" s="107">
        <v>1</v>
      </c>
      <c r="E13" s="107">
        <v>1</v>
      </c>
      <c r="F13" s="107" t="s">
        <v>28</v>
      </c>
      <c r="G13" s="107" t="s">
        <v>19</v>
      </c>
    </row>
    <row r="14" spans="1:7" ht="27.6">
      <c r="A14" s="107"/>
      <c r="B14" s="107"/>
      <c r="C14" s="107"/>
      <c r="D14" s="107">
        <v>1</v>
      </c>
      <c r="E14" s="107">
        <v>1</v>
      </c>
      <c r="F14" s="107" t="s">
        <v>28</v>
      </c>
      <c r="G14" s="107" t="s">
        <v>19</v>
      </c>
    </row>
    <row r="15" spans="1:7" ht="27.6">
      <c r="A15" s="107"/>
      <c r="B15" s="107"/>
      <c r="C15" s="107"/>
      <c r="D15" s="107">
        <v>1</v>
      </c>
      <c r="E15" s="107">
        <v>1</v>
      </c>
      <c r="F15" s="107" t="s">
        <v>28</v>
      </c>
      <c r="G15" s="107" t="s">
        <v>19</v>
      </c>
    </row>
    <row r="16" spans="1:7" ht="27.6">
      <c r="A16" s="107"/>
      <c r="B16" s="107"/>
      <c r="C16" s="107"/>
      <c r="D16" s="107">
        <v>1</v>
      </c>
      <c r="E16" s="107">
        <v>1</v>
      </c>
      <c r="F16" s="107" t="s">
        <v>28</v>
      </c>
      <c r="G16" s="107" t="s">
        <v>19</v>
      </c>
    </row>
    <row r="17" spans="1:7" ht="27.6">
      <c r="A17" s="107"/>
      <c r="B17" s="107"/>
      <c r="C17" s="107"/>
      <c r="D17" s="107">
        <v>1</v>
      </c>
      <c r="E17" s="107">
        <v>1</v>
      </c>
      <c r="F17" s="107" t="s">
        <v>28</v>
      </c>
      <c r="G17" s="107" t="s">
        <v>19</v>
      </c>
    </row>
    <row r="18" spans="1:7" ht="27.6">
      <c r="A18" s="107"/>
      <c r="B18" s="107"/>
      <c r="C18" s="107"/>
      <c r="D18" s="107">
        <v>1</v>
      </c>
      <c r="E18" s="107">
        <v>1</v>
      </c>
      <c r="F18" s="107" t="s">
        <v>28</v>
      </c>
      <c r="G18" s="107" t="s">
        <v>19</v>
      </c>
    </row>
    <row r="19" spans="1:7" ht="27.6">
      <c r="A19" s="107"/>
      <c r="B19" s="107"/>
      <c r="C19" s="107"/>
      <c r="D19" s="107">
        <v>1</v>
      </c>
      <c r="E19" s="107">
        <v>1</v>
      </c>
      <c r="F19" s="107" t="s">
        <v>28</v>
      </c>
      <c r="G19" s="107" t="s">
        <v>19</v>
      </c>
    </row>
    <row r="20" spans="1:7" ht="27.6">
      <c r="A20" s="107"/>
      <c r="B20" s="107"/>
      <c r="C20" s="107"/>
      <c r="D20" s="107">
        <v>1</v>
      </c>
      <c r="E20" s="107">
        <v>1</v>
      </c>
      <c r="F20" s="107" t="s">
        <v>28</v>
      </c>
      <c r="G20" s="107" t="s">
        <v>19</v>
      </c>
    </row>
    <row r="21" spans="1:7" ht="27.6">
      <c r="A21" s="107"/>
      <c r="B21" s="107"/>
      <c r="C21" s="107"/>
      <c r="D21" s="107">
        <v>1</v>
      </c>
      <c r="E21" s="107">
        <v>1</v>
      </c>
      <c r="F21" s="107" t="s">
        <v>28</v>
      </c>
      <c r="G21" s="107" t="s">
        <v>19</v>
      </c>
    </row>
    <row r="22" spans="1:7" ht="27.6">
      <c r="A22" s="107"/>
      <c r="B22" s="107"/>
      <c r="C22" s="107"/>
      <c r="D22" s="107">
        <v>1</v>
      </c>
      <c r="E22" s="107">
        <v>1</v>
      </c>
      <c r="F22" s="107" t="s">
        <v>28</v>
      </c>
      <c r="G22" s="107" t="s">
        <v>19</v>
      </c>
    </row>
    <row r="23" spans="1:7" ht="27.6">
      <c r="A23" s="107">
        <v>1579.3568680995272</v>
      </c>
      <c r="B23" s="107">
        <v>11200.204155083029</v>
      </c>
      <c r="C23" s="107">
        <v>40.00072912529653</v>
      </c>
      <c r="D23" s="107">
        <v>4</v>
      </c>
      <c r="E23" s="107">
        <v>4</v>
      </c>
      <c r="F23" s="107" t="s">
        <v>28</v>
      </c>
      <c r="G23" s="107" t="s">
        <v>19</v>
      </c>
    </row>
    <row r="24" spans="1:7" ht="41.4">
      <c r="A24" s="107">
        <v>1430.4460789330135</v>
      </c>
      <c r="B24" s="107">
        <v>9620.8472869835023</v>
      </c>
      <c r="C24" s="107">
        <v>34.36016888208394</v>
      </c>
      <c r="D24" s="107">
        <v>4</v>
      </c>
      <c r="E24" s="107">
        <v>4</v>
      </c>
      <c r="F24" s="107" t="s">
        <v>28</v>
      </c>
      <c r="G24" s="107" t="s">
        <v>27</v>
      </c>
    </row>
    <row r="25" spans="1:7" ht="41.4">
      <c r="A25" s="107">
        <v>1281.5352897664998</v>
      </c>
      <c r="B25" s="107">
        <v>8190.4012080504881</v>
      </c>
      <c r="C25" s="107">
        <v>29.251432885894602</v>
      </c>
      <c r="D25" s="107">
        <v>3</v>
      </c>
      <c r="E25" s="107">
        <v>4</v>
      </c>
      <c r="F25" s="107" t="s">
        <v>39</v>
      </c>
      <c r="G25" s="107" t="s">
        <v>27</v>
      </c>
    </row>
    <row r="26" spans="1:7" ht="41.4">
      <c r="A26" s="107">
        <v>1132.624500599986</v>
      </c>
      <c r="B26" s="107">
        <v>6908.8659182839883</v>
      </c>
      <c r="C26" s="107">
        <v>24.674521136728529</v>
      </c>
      <c r="D26" s="107">
        <v>2</v>
      </c>
      <c r="E26" s="107">
        <v>4</v>
      </c>
      <c r="F26" s="107" t="s">
        <v>39</v>
      </c>
      <c r="G26" s="107" t="s">
        <v>27</v>
      </c>
    </row>
    <row r="27" spans="1:7" ht="41.4">
      <c r="A27" s="107"/>
      <c r="B27" s="107"/>
      <c r="C27" s="107"/>
      <c r="D27" s="107">
        <v>1</v>
      </c>
      <c r="E27" s="107">
        <v>1</v>
      </c>
      <c r="F27" s="107" t="s">
        <v>28</v>
      </c>
      <c r="G27" s="107" t="s">
        <v>27</v>
      </c>
    </row>
    <row r="28" spans="1:7" ht="41.4">
      <c r="A28" s="107"/>
      <c r="B28" s="107"/>
      <c r="C28" s="107"/>
      <c r="D28" s="107">
        <v>1</v>
      </c>
      <c r="E28" s="107">
        <v>1</v>
      </c>
      <c r="F28" s="107" t="s">
        <v>28</v>
      </c>
      <c r="G28" s="107" t="s">
        <v>27</v>
      </c>
    </row>
    <row r="29" spans="1:7" ht="41.4">
      <c r="A29" s="107">
        <v>551.0656465758882</v>
      </c>
      <c r="B29" s="107">
        <v>5776.241417684002</v>
      </c>
      <c r="C29" s="107">
        <v>20.629433634585723</v>
      </c>
      <c r="D29" s="107">
        <v>1</v>
      </c>
      <c r="E29" s="107">
        <v>1</v>
      </c>
      <c r="F29" s="107" t="s">
        <v>28</v>
      </c>
      <c r="G29" s="107" t="s">
        <v>27</v>
      </c>
    </row>
    <row r="30" spans="1:7" ht="41.4">
      <c r="A30" s="107">
        <v>523.71747593006387</v>
      </c>
      <c r="B30" s="107">
        <v>5225.1757711081136</v>
      </c>
      <c r="C30" s="107">
        <v>18.661342039671833</v>
      </c>
      <c r="D30" s="107">
        <v>1</v>
      </c>
      <c r="E30" s="107">
        <v>1</v>
      </c>
      <c r="F30" s="107" t="s">
        <v>28</v>
      </c>
      <c r="G30" s="107" t="s">
        <v>27</v>
      </c>
    </row>
    <row r="31" spans="1:7" ht="41.4">
      <c r="A31" s="107">
        <v>687.25953961710434</v>
      </c>
      <c r="B31" s="107">
        <v>4701.4582951780494</v>
      </c>
      <c r="C31" s="107">
        <v>16.790922482778747</v>
      </c>
      <c r="D31" s="107">
        <v>1</v>
      </c>
      <c r="E31" s="107">
        <v>1</v>
      </c>
      <c r="F31" s="107" t="s">
        <v>28</v>
      </c>
      <c r="G31" s="107" t="s">
        <v>27</v>
      </c>
    </row>
    <row r="32" spans="1:7" ht="41.4">
      <c r="A32" s="107">
        <v>888.81556211434622</v>
      </c>
      <c r="B32" s="107">
        <v>4014.1987555609448</v>
      </c>
      <c r="C32" s="107">
        <v>14.336424127003374</v>
      </c>
      <c r="D32" s="107">
        <v>1</v>
      </c>
      <c r="E32" s="107">
        <v>1</v>
      </c>
      <c r="F32" s="107" t="s">
        <v>28</v>
      </c>
      <c r="G32" s="107" t="s">
        <v>27</v>
      </c>
    </row>
    <row r="33" spans="1:7" ht="41.4">
      <c r="A33" s="107">
        <v>499.95875469713565</v>
      </c>
      <c r="B33" s="107">
        <v>3125.3831934465989</v>
      </c>
      <c r="C33" s="107">
        <v>11.162082833737854</v>
      </c>
      <c r="D33" s="107">
        <v>1</v>
      </c>
      <c r="E33" s="107">
        <v>1</v>
      </c>
      <c r="F33" s="107" t="s">
        <v>28</v>
      </c>
      <c r="G33" s="107" t="s">
        <v>27</v>
      </c>
    </row>
    <row r="34" spans="1:7" ht="41.4">
      <c r="A34" s="107">
        <v>711.05245291648771</v>
      </c>
      <c r="B34" s="107">
        <v>2625.4244387494632</v>
      </c>
      <c r="C34" s="107">
        <v>9.3765158526766541</v>
      </c>
      <c r="D34" s="107">
        <v>1</v>
      </c>
      <c r="E34" s="107">
        <v>1</v>
      </c>
      <c r="F34" s="107" t="s">
        <v>28</v>
      </c>
      <c r="G34" s="107" t="s">
        <v>27</v>
      </c>
    </row>
    <row r="35" spans="1:7" ht="41.4">
      <c r="A35" s="107">
        <v>601.65977033319018</v>
      </c>
      <c r="B35" s="107">
        <v>1914.3719858329755</v>
      </c>
      <c r="C35" s="107">
        <v>6.8370428065463411</v>
      </c>
      <c r="D35" s="107">
        <v>1</v>
      </c>
      <c r="E35" s="107">
        <v>1</v>
      </c>
      <c r="F35" s="107" t="s">
        <v>28</v>
      </c>
      <c r="G35" s="107" t="s">
        <v>27</v>
      </c>
    </row>
    <row r="36" spans="1:7" ht="41.4">
      <c r="A36" s="107">
        <v>492.26708774989265</v>
      </c>
      <c r="B36" s="107">
        <v>1312.7122154997853</v>
      </c>
      <c r="C36" s="107">
        <v>4.6882579124992336</v>
      </c>
      <c r="D36" s="107">
        <v>1</v>
      </c>
      <c r="E36" s="107">
        <v>1</v>
      </c>
      <c r="F36" s="107" t="s">
        <v>28</v>
      </c>
      <c r="G36" s="107" t="s">
        <v>27</v>
      </c>
    </row>
    <row r="37" spans="1:7" ht="41.4">
      <c r="A37" s="107">
        <v>382.87440516659507</v>
      </c>
      <c r="B37" s="107">
        <v>820.44512774989266</v>
      </c>
      <c r="C37" s="107">
        <v>2.9301611705353308</v>
      </c>
      <c r="D37" s="107">
        <v>1</v>
      </c>
      <c r="E37" s="107">
        <v>1</v>
      </c>
      <c r="F37" s="107" t="s">
        <v>28</v>
      </c>
      <c r="G37" s="107" t="s">
        <v>27</v>
      </c>
    </row>
    <row r="38" spans="1:7" ht="41.4">
      <c r="A38" s="107">
        <v>273.48172258329754</v>
      </c>
      <c r="B38" s="107">
        <v>437.57072258329754</v>
      </c>
      <c r="C38" s="107">
        <v>1.5627525806546341</v>
      </c>
      <c r="D38" s="107">
        <v>1</v>
      </c>
      <c r="E38" s="107">
        <v>1</v>
      </c>
      <c r="F38" s="107" t="s">
        <v>28</v>
      </c>
      <c r="G38" s="107" t="s">
        <v>27</v>
      </c>
    </row>
    <row r="39" spans="1:7" ht="27.6">
      <c r="A39" s="107">
        <v>164.08904000000001</v>
      </c>
      <c r="B39" s="107">
        <v>164.089</v>
      </c>
      <c r="C39" s="107">
        <v>0.586032142857143</v>
      </c>
      <c r="D39" s="107">
        <v>1</v>
      </c>
      <c r="E39" s="107">
        <v>1</v>
      </c>
      <c r="F39" s="107" t="s">
        <v>28</v>
      </c>
      <c r="G39" s="107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7"/>
  <sheetViews>
    <sheetView topLeftCell="D7" workbookViewId="0">
      <selection activeCell="I12" sqref="I12"/>
    </sheetView>
  </sheetViews>
  <sheetFormatPr defaultColWidth="9" defaultRowHeight="13.8"/>
  <cols>
    <col min="5" max="5" width="12.796875" customWidth="1"/>
    <col min="6" max="6" width="12.8984375" customWidth="1"/>
    <col min="7" max="7" width="15.59765625" customWidth="1"/>
    <col min="8" max="8" width="13.5" customWidth="1"/>
    <col min="9" max="9" width="12.796875"/>
    <col min="10" max="10" width="13.296875" customWidth="1"/>
    <col min="11" max="11" width="13.59765625" customWidth="1"/>
    <col min="12" max="12" width="10.8984375" customWidth="1"/>
    <col min="13" max="13" width="20.69921875" customWidth="1"/>
    <col min="14" max="14" width="18.8984375" customWidth="1"/>
    <col min="15" max="15" width="11.3984375" customWidth="1"/>
    <col min="16" max="16" width="14.09765625" customWidth="1"/>
  </cols>
  <sheetData>
    <row r="1" spans="1:16" ht="16.05" customHeight="1">
      <c r="A1" s="2" t="s">
        <v>0</v>
      </c>
      <c r="B1" s="3" t="s">
        <v>20</v>
      </c>
      <c r="C1" s="3" t="s">
        <v>2</v>
      </c>
      <c r="D1" s="3" t="s">
        <v>3</v>
      </c>
      <c r="E1" s="3" t="s">
        <v>4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9</v>
      </c>
      <c r="K1" s="3" t="s">
        <v>10</v>
      </c>
      <c r="L1" s="3" t="s">
        <v>11</v>
      </c>
      <c r="M1" s="8" t="s">
        <v>12</v>
      </c>
      <c r="N1" s="9" t="s">
        <v>13</v>
      </c>
      <c r="O1" s="9" t="s">
        <v>14</v>
      </c>
      <c r="P1" s="10" t="s">
        <v>15</v>
      </c>
    </row>
    <row r="2" spans="1:16">
      <c r="A2" s="50" t="s">
        <v>25</v>
      </c>
      <c r="B2" s="51"/>
      <c r="C2" s="51"/>
      <c r="D2" s="51"/>
      <c r="E2" s="51"/>
      <c r="F2" s="51"/>
      <c r="G2" s="51">
        <v>4927.5</v>
      </c>
      <c r="H2" s="51">
        <v>7.4865617142944201</v>
      </c>
      <c r="I2" s="51"/>
      <c r="J2" s="51"/>
      <c r="K2" s="51"/>
      <c r="L2" s="51"/>
      <c r="M2" s="51"/>
      <c r="N2" s="51"/>
      <c r="O2" s="51"/>
      <c r="P2" s="54"/>
    </row>
    <row r="3" spans="1:16">
      <c r="A3" s="50">
        <v>1</v>
      </c>
      <c r="B3" s="51">
        <v>1</v>
      </c>
      <c r="C3" s="51">
        <v>73</v>
      </c>
      <c r="D3" s="51">
        <v>3</v>
      </c>
      <c r="E3" s="51">
        <v>45</v>
      </c>
      <c r="F3" s="51">
        <v>9855</v>
      </c>
      <c r="G3" s="51">
        <v>10125</v>
      </c>
      <c r="H3" s="51">
        <v>15.383345988276201</v>
      </c>
      <c r="I3" s="51">
        <v>78.0448419799785</v>
      </c>
      <c r="J3" s="51">
        <v>5697.2734645384298</v>
      </c>
      <c r="K3" s="51">
        <v>11657.3624787517</v>
      </c>
      <c r="L3" s="51">
        <v>41.633437424113097</v>
      </c>
      <c r="M3" s="51" t="str">
        <f>IF(I3&lt;78,"10 mm²",IF(I3&lt;104,"16 mm²",IF(I3&lt;137,"25 mm²",IF(I3&lt;168,"35 mm²",IF(I3&lt;210,"50 mm²",IF(I3&lt;260,"70 mm²",IF(I3&lt;310,"95 mm²",IF(I3&lt;344,"120 mm²",IF(I3&lt;391,"150 mm²",IF(I3&lt;448,"185 mm²"))))))))))</f>
        <v>16 mm²</v>
      </c>
      <c r="N3" s="51">
        <v>3</v>
      </c>
      <c r="O3" s="51" t="s">
        <v>26</v>
      </c>
      <c r="P3" s="54" t="s">
        <v>27</v>
      </c>
    </row>
    <row r="4" spans="1:16">
      <c r="A4" s="50">
        <v>2</v>
      </c>
      <c r="B4" s="51">
        <v>2</v>
      </c>
      <c r="C4" s="51">
        <v>77</v>
      </c>
      <c r="D4" s="51">
        <v>3</v>
      </c>
      <c r="E4" s="51">
        <v>45</v>
      </c>
      <c r="F4" s="51">
        <v>10395</v>
      </c>
      <c r="G4" s="51">
        <v>9180</v>
      </c>
      <c r="H4" s="51">
        <v>13.947567029370401</v>
      </c>
      <c r="I4" s="51"/>
      <c r="J4" s="51"/>
      <c r="K4" s="51"/>
      <c r="L4" s="51"/>
      <c r="M4" s="51" t="str">
        <f t="shared" ref="M4:M7" si="0">IF(I4&lt;78,"10 mm²",IF(I4&lt;104,"16 mm²",IF(I4&lt;137,"25 mm²",IF(I4&lt;168,"35 mm²",IF(I4&lt;210,"50 mm²",IF(I4&lt;260,"70 mm²",IF(I4&lt;310,"95 mm²",IF(I4&lt;344,"120 mm²",IF(I4&lt;391,"150 mm²",IF(I4&lt;448,"185 mm²"))))))))))</f>
        <v>10 mm²</v>
      </c>
      <c r="N4" s="51">
        <v>1</v>
      </c>
      <c r="O4" s="51" t="s">
        <v>28</v>
      </c>
      <c r="P4" s="54" t="s">
        <v>27</v>
      </c>
    </row>
    <row r="5" spans="1:16">
      <c r="A5" s="50">
        <v>3</v>
      </c>
      <c r="B5" s="51">
        <v>3</v>
      </c>
      <c r="C5" s="51">
        <v>59</v>
      </c>
      <c r="D5" s="51">
        <v>3</v>
      </c>
      <c r="E5" s="51">
        <v>45</v>
      </c>
      <c r="F5" s="51">
        <v>7965</v>
      </c>
      <c r="G5" s="51">
        <v>9855</v>
      </c>
      <c r="H5" s="51">
        <v>14.973123428588799</v>
      </c>
      <c r="I5" s="51">
        <v>48.713928962331899</v>
      </c>
      <c r="J5" s="51">
        <v>2874.1218087775801</v>
      </c>
      <c r="K5" s="51">
        <v>5960.0890142132203</v>
      </c>
      <c r="L5" s="51">
        <v>21.286032193618698</v>
      </c>
      <c r="M5" s="51" t="str">
        <f t="shared" si="0"/>
        <v>10 mm²</v>
      </c>
      <c r="N5" s="51">
        <v>1</v>
      </c>
      <c r="O5" s="51" t="s">
        <v>28</v>
      </c>
      <c r="P5" s="54" t="s">
        <v>27</v>
      </c>
    </row>
    <row r="6" spans="1:16">
      <c r="A6" s="50">
        <v>4</v>
      </c>
      <c r="B6" s="51">
        <v>4</v>
      </c>
      <c r="C6" s="51">
        <v>87</v>
      </c>
      <c r="D6" s="51">
        <v>3</v>
      </c>
      <c r="E6" s="51">
        <v>45</v>
      </c>
      <c r="F6" s="51">
        <v>11745</v>
      </c>
      <c r="G6" s="51">
        <v>14040</v>
      </c>
      <c r="H6" s="51">
        <v>21.331573103743001</v>
      </c>
      <c r="I6" s="51">
        <v>33.740805533743</v>
      </c>
      <c r="J6" s="51">
        <v>2935.4500814356402</v>
      </c>
      <c r="K6" s="51">
        <v>3085.9672054356402</v>
      </c>
      <c r="L6" s="51">
        <v>11.021311447984401</v>
      </c>
      <c r="M6" s="51" t="str">
        <f t="shared" si="0"/>
        <v>10 mm²</v>
      </c>
      <c r="N6" s="51">
        <v>1</v>
      </c>
      <c r="O6" s="51" t="s">
        <v>28</v>
      </c>
      <c r="P6" s="54" t="s">
        <v>27</v>
      </c>
    </row>
    <row r="7" spans="1:16">
      <c r="A7" s="52">
        <v>5</v>
      </c>
      <c r="B7" s="53">
        <v>5</v>
      </c>
      <c r="C7" s="53">
        <v>121</v>
      </c>
      <c r="D7" s="53">
        <v>3</v>
      </c>
      <c r="E7" s="53">
        <v>45</v>
      </c>
      <c r="F7" s="53">
        <v>16335</v>
      </c>
      <c r="G7" s="53">
        <v>8167.5</v>
      </c>
      <c r="H7" s="53">
        <v>12.409232430542801</v>
      </c>
      <c r="I7" s="53">
        <v>12.409232429999999</v>
      </c>
      <c r="J7" s="53">
        <v>1501.5171240300001</v>
      </c>
      <c r="K7" s="53">
        <v>150.517124</v>
      </c>
      <c r="L7" s="53">
        <v>0.53756115714285702</v>
      </c>
      <c r="M7" s="51" t="str">
        <f t="shared" si="0"/>
        <v>10 mm²</v>
      </c>
      <c r="N7" s="53">
        <v>1</v>
      </c>
      <c r="O7" s="53" t="s">
        <v>28</v>
      </c>
      <c r="P7" s="55" t="s">
        <v>27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AutoCAD.Drawing.24" shapeId="4097" r:id="rId3">
          <objectPr defaultSize="0" r:id="rId4">
            <anchor moveWithCells="1">
              <from>
                <xdr:col>4</xdr:col>
                <xdr:colOff>205740</xdr:colOff>
                <xdr:row>7</xdr:row>
                <xdr:rowOff>121920</xdr:rowOff>
              </from>
              <to>
                <xdr:col>22</xdr:col>
                <xdr:colOff>266700</xdr:colOff>
                <xdr:row>44</xdr:row>
                <xdr:rowOff>91440</xdr:rowOff>
              </to>
            </anchor>
          </objectPr>
        </oleObject>
      </mc:Choice>
      <mc:Fallback>
        <oleObject progId="AutoCAD.Drawing.24" shapeId="4097" r:id="rId3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I10" sqref="I10"/>
    </sheetView>
  </sheetViews>
  <sheetFormatPr defaultRowHeight="13.8"/>
  <sheetData>
    <row r="1" spans="1:15" ht="26.4">
      <c r="A1" s="87" t="s">
        <v>65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spans="1:15" ht="86.4">
      <c r="A2" s="89" t="s">
        <v>66</v>
      </c>
      <c r="B2" s="90"/>
      <c r="C2" s="91"/>
      <c r="D2" s="91"/>
      <c r="E2" s="91">
        <v>229.5</v>
      </c>
      <c r="F2" s="91"/>
      <c r="G2" s="91">
        <v>229.5</v>
      </c>
      <c r="H2" s="91"/>
      <c r="I2" s="91"/>
      <c r="J2" s="91"/>
      <c r="K2" s="92"/>
      <c r="L2" s="93"/>
      <c r="M2" s="91"/>
      <c r="N2" s="91"/>
      <c r="O2" s="62"/>
    </row>
    <row r="3" spans="1:15" ht="14.4">
      <c r="A3" s="94" t="s">
        <v>67</v>
      </c>
      <c r="B3" s="91"/>
      <c r="C3" s="91"/>
      <c r="D3" s="91">
        <f>F3+E2</f>
        <v>459</v>
      </c>
      <c r="E3" s="91"/>
      <c r="F3" s="91">
        <v>229.5</v>
      </c>
      <c r="G3" s="91"/>
      <c r="H3" s="92"/>
      <c r="I3" s="95"/>
      <c r="J3" s="92"/>
      <c r="K3" s="95"/>
      <c r="L3" s="92"/>
      <c r="M3" s="95"/>
      <c r="N3" s="91"/>
      <c r="O3" s="91"/>
    </row>
    <row r="4" spans="1:15" ht="14.4">
      <c r="A4" s="94" t="s">
        <v>68</v>
      </c>
      <c r="B4" s="91"/>
      <c r="C4" s="91"/>
      <c r="D4" s="91">
        <v>45</v>
      </c>
      <c r="E4" s="91"/>
      <c r="F4" s="91">
        <v>45</v>
      </c>
      <c r="G4" s="91"/>
      <c r="H4" s="91"/>
      <c r="I4" s="91"/>
      <c r="J4" s="91"/>
      <c r="K4" s="91"/>
      <c r="L4" s="91"/>
      <c r="M4" s="91"/>
      <c r="N4" s="91"/>
      <c r="O4" s="91"/>
    </row>
    <row r="5" spans="1:15" ht="14.4">
      <c r="A5" s="94" t="s">
        <v>69</v>
      </c>
      <c r="B5" s="91"/>
      <c r="C5" s="91"/>
      <c r="D5" s="91">
        <v>12.4</v>
      </c>
      <c r="E5" s="91"/>
      <c r="F5" s="91">
        <v>7.75</v>
      </c>
      <c r="G5" s="91"/>
      <c r="H5" s="91"/>
      <c r="I5" s="91"/>
      <c r="J5" s="91"/>
      <c r="K5" s="91"/>
      <c r="L5" s="91"/>
      <c r="M5" s="91"/>
      <c r="N5" s="91"/>
      <c r="O5" s="91"/>
    </row>
    <row r="6" spans="1:15" ht="14.4">
      <c r="A6" s="94" t="s">
        <v>70</v>
      </c>
      <c r="B6" s="91"/>
      <c r="C6" s="91"/>
      <c r="D6" s="91">
        <f>D5*D4*D3*10^-7*10</f>
        <v>0.25612199999999996</v>
      </c>
      <c r="E6" s="91"/>
      <c r="F6" s="91">
        <f>F5*F4*F3*10^-7*229.5</f>
        <v>1.8368749687499997</v>
      </c>
      <c r="G6" s="91"/>
      <c r="H6" s="91"/>
      <c r="I6" s="91"/>
      <c r="J6" s="91"/>
      <c r="K6" s="91"/>
      <c r="L6" s="91"/>
      <c r="M6" s="91"/>
      <c r="N6" s="91"/>
      <c r="O6" s="91"/>
    </row>
    <row r="7" spans="1:15" s="74" customFormat="1" ht="14.4">
      <c r="A7" s="94"/>
      <c r="B7" s="88" t="s">
        <v>75</v>
      </c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</row>
  </sheetData>
  <mergeCells count="36">
    <mergeCell ref="B7:O7"/>
    <mergeCell ref="N5:O5"/>
    <mergeCell ref="B6:C6"/>
    <mergeCell ref="D6:E6"/>
    <mergeCell ref="F6:G6"/>
    <mergeCell ref="H6:I6"/>
    <mergeCell ref="J6:K6"/>
    <mergeCell ref="L6:M6"/>
    <mergeCell ref="N6:O6"/>
    <mergeCell ref="B5:C5"/>
    <mergeCell ref="D5:E5"/>
    <mergeCell ref="F5:G5"/>
    <mergeCell ref="H5:I5"/>
    <mergeCell ref="J5:K5"/>
    <mergeCell ref="L5:M5"/>
    <mergeCell ref="N3:O3"/>
    <mergeCell ref="B4:C4"/>
    <mergeCell ref="D4:E4"/>
    <mergeCell ref="F4:G4"/>
    <mergeCell ref="H4:I4"/>
    <mergeCell ref="J4:K4"/>
    <mergeCell ref="L4:M4"/>
    <mergeCell ref="N4:O4"/>
    <mergeCell ref="B3:C3"/>
    <mergeCell ref="D3:E3"/>
    <mergeCell ref="F3:G3"/>
    <mergeCell ref="H3:I3"/>
    <mergeCell ref="J3:K3"/>
    <mergeCell ref="L3:M3"/>
    <mergeCell ref="B1:O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I4" sqref="I4"/>
    </sheetView>
  </sheetViews>
  <sheetFormatPr defaultRowHeight="13.8"/>
  <cols>
    <col min="1" max="1" width="17.59765625" customWidth="1"/>
    <col min="2" max="2" width="12.796875" customWidth="1"/>
    <col min="3" max="3" width="13.19921875" customWidth="1"/>
    <col min="4" max="4" width="12.3984375" customWidth="1"/>
    <col min="5" max="5" width="16.3984375" customWidth="1"/>
    <col min="6" max="6" width="15.59765625" customWidth="1"/>
    <col min="7" max="7" width="13.796875" customWidth="1"/>
  </cols>
  <sheetData>
    <row r="1" spans="1:8" ht="41.4">
      <c r="A1" s="107" t="s">
        <v>9</v>
      </c>
      <c r="B1" s="107" t="s">
        <v>10</v>
      </c>
      <c r="C1" s="107" t="s">
        <v>11</v>
      </c>
      <c r="D1" s="107" t="s">
        <v>12</v>
      </c>
      <c r="E1" s="107" t="s">
        <v>13</v>
      </c>
      <c r="F1" s="107" t="s">
        <v>14</v>
      </c>
      <c r="G1" s="107" t="s">
        <v>15</v>
      </c>
      <c r="H1" s="107"/>
    </row>
    <row r="2" spans="1:8">
      <c r="A2" s="107"/>
      <c r="B2" s="107"/>
      <c r="C2" s="107"/>
      <c r="D2" s="107"/>
      <c r="E2" s="107"/>
      <c r="F2" s="107"/>
      <c r="G2" s="107"/>
      <c r="H2" s="107"/>
    </row>
    <row r="3" spans="1:8" ht="41.4">
      <c r="A3" s="107">
        <v>5697.2734645384298</v>
      </c>
      <c r="B3" s="107">
        <v>11657.3624787517</v>
      </c>
      <c r="C3" s="107">
        <v>41.633437424113097</v>
      </c>
      <c r="D3" s="107" t="s">
        <v>77</v>
      </c>
      <c r="E3" s="107">
        <v>3</v>
      </c>
      <c r="F3" s="107" t="s">
        <v>26</v>
      </c>
      <c r="G3" s="107" t="s">
        <v>27</v>
      </c>
      <c r="H3" s="107"/>
    </row>
    <row r="4" spans="1:8" ht="41.4">
      <c r="A4" s="107"/>
      <c r="B4" s="107"/>
      <c r="C4" s="107"/>
      <c r="D4" s="107" t="s">
        <v>78</v>
      </c>
      <c r="E4" s="107">
        <v>1</v>
      </c>
      <c r="F4" s="107" t="s">
        <v>28</v>
      </c>
      <c r="G4" s="107" t="s">
        <v>27</v>
      </c>
      <c r="H4" s="107"/>
    </row>
    <row r="5" spans="1:8" ht="41.4">
      <c r="A5" s="107">
        <v>2874.1218087775801</v>
      </c>
      <c r="B5" s="107">
        <v>5960.0890142132203</v>
      </c>
      <c r="C5" s="107">
        <v>21.286032193618698</v>
      </c>
      <c r="D5" s="107" t="s">
        <v>78</v>
      </c>
      <c r="E5" s="107">
        <v>1</v>
      </c>
      <c r="F5" s="107" t="s">
        <v>28</v>
      </c>
      <c r="G5" s="107" t="s">
        <v>27</v>
      </c>
      <c r="H5" s="107"/>
    </row>
    <row r="6" spans="1:8" ht="41.4">
      <c r="A6" s="107">
        <v>2935.4500814356402</v>
      </c>
      <c r="B6" s="107">
        <v>3085.9672054356402</v>
      </c>
      <c r="C6" s="107">
        <v>11.021311447984401</v>
      </c>
      <c r="D6" s="107" t="s">
        <v>78</v>
      </c>
      <c r="E6" s="107">
        <v>1</v>
      </c>
      <c r="F6" s="107" t="s">
        <v>28</v>
      </c>
      <c r="G6" s="107" t="s">
        <v>27</v>
      </c>
      <c r="H6" s="107"/>
    </row>
    <row r="7" spans="1:8" ht="41.4">
      <c r="A7" s="107">
        <v>1501.5171240300001</v>
      </c>
      <c r="B7" s="107">
        <v>150.517124</v>
      </c>
      <c r="C7" s="107">
        <v>0.53756115714285702</v>
      </c>
      <c r="D7" s="107" t="s">
        <v>78</v>
      </c>
      <c r="E7" s="107">
        <v>1</v>
      </c>
      <c r="F7" s="107" t="s">
        <v>28</v>
      </c>
      <c r="G7" s="107" t="s">
        <v>27</v>
      </c>
      <c r="H7" s="107"/>
    </row>
    <row r="8" spans="1:8">
      <c r="A8" s="107"/>
      <c r="B8" s="107"/>
      <c r="C8" s="107"/>
      <c r="D8" s="107"/>
      <c r="E8" s="107"/>
      <c r="F8" s="107"/>
      <c r="G8" s="107"/>
      <c r="H8" s="10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71"/>
  <sheetViews>
    <sheetView topLeftCell="E37" workbookViewId="0">
      <selection activeCell="J35" sqref="J35"/>
    </sheetView>
  </sheetViews>
  <sheetFormatPr defaultColWidth="9" defaultRowHeight="13.8"/>
  <cols>
    <col min="1" max="4" width="9.09765625" style="39" customWidth="1"/>
    <col min="5" max="5" width="13.09765625" style="39" customWidth="1"/>
    <col min="6" max="6" width="9.09765625" style="39" customWidth="1"/>
    <col min="7" max="7" width="11.3984375" style="39" customWidth="1"/>
    <col min="8" max="8" width="12.3984375" style="39" customWidth="1"/>
    <col min="9" max="9" width="13.69921875" style="39" customWidth="1"/>
    <col min="10" max="10" width="13.5" style="39" customWidth="1"/>
    <col min="11" max="11" width="14" style="39" customWidth="1"/>
    <col min="12" max="12" width="10.3984375" style="39" customWidth="1"/>
    <col min="13" max="13" width="13.5" style="39" customWidth="1"/>
    <col min="14" max="14" width="19.59765625" style="39" customWidth="1"/>
    <col min="15" max="15" width="24.5" style="39" customWidth="1"/>
    <col min="16" max="16" width="15.69921875" style="39" customWidth="1"/>
    <col min="17" max="16384" width="9" style="39"/>
  </cols>
  <sheetData>
    <row r="1" spans="1:21" ht="24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32" t="s">
        <v>29</v>
      </c>
      <c r="N1" s="32" t="s">
        <v>30</v>
      </c>
      <c r="O1" s="32" t="s">
        <v>14</v>
      </c>
      <c r="P1" s="33" t="s">
        <v>31</v>
      </c>
      <c r="Q1" s="49"/>
      <c r="R1" s="49"/>
      <c r="S1" s="49"/>
      <c r="T1" s="49"/>
      <c r="U1" s="49"/>
    </row>
    <row r="2" spans="1:21" ht="14.4">
      <c r="A2" s="40" t="s">
        <v>32</v>
      </c>
      <c r="B2" s="23"/>
      <c r="C2" s="23"/>
      <c r="D2" s="23"/>
      <c r="E2" s="23"/>
      <c r="F2" s="23"/>
      <c r="G2" s="41">
        <v>1890</v>
      </c>
      <c r="H2" s="41">
        <v>2.8715579180000002</v>
      </c>
      <c r="I2" s="23"/>
      <c r="J2" s="23"/>
      <c r="K2" s="23"/>
      <c r="L2" s="23"/>
      <c r="M2" s="45"/>
      <c r="N2" s="45"/>
      <c r="O2" s="45"/>
      <c r="P2" s="46"/>
    </row>
    <row r="3" spans="1:21" ht="14.4">
      <c r="A3" s="40">
        <v>1</v>
      </c>
      <c r="B3" s="41">
        <v>1</v>
      </c>
      <c r="C3" s="41">
        <v>28</v>
      </c>
      <c r="D3" s="41">
        <v>3</v>
      </c>
      <c r="E3" s="41">
        <v>45</v>
      </c>
      <c r="F3" s="41">
        <v>3780</v>
      </c>
      <c r="G3" s="41">
        <v>3780</v>
      </c>
      <c r="H3" s="41">
        <v>5.7431158360000003</v>
      </c>
      <c r="I3" s="23">
        <v>181.93370519999999</v>
      </c>
      <c r="J3" s="23">
        <v>5094.1437459999997</v>
      </c>
      <c r="K3" s="23">
        <v>22750.8406</v>
      </c>
      <c r="L3" s="23">
        <v>81.253002159999994</v>
      </c>
      <c r="M3" s="45">
        <f>IF(L3&gt;Veriler!$D$1,IF(L3&gt;Veriler!$D$2,IF(L3&gt;Veriler!$D$3,IF(L3&gt;Veriler!$D$4,IF(L3&gt;Veriler!$D$5,IF(L3&gt;Veriler!$D$6,IF(L3&gt;Veriler!$D$7,IF(L3&gt;Veriler!$D$8,"ders sorumlusuna başvur",Veriler!$A$8),Veriler!$A$7),Veriler!$A$6),Veriler!$A$5),Veriler!$A$4),Veriler!$A$3),Veriler!$A$2),Veriler!$A$1)</f>
        <v>7</v>
      </c>
      <c r="N3" s="45">
        <v>7</v>
      </c>
      <c r="O3" s="45" t="str">
        <f>VLOOKUP(N3,Veriler!A$1:C$8,2,FALSE)</f>
        <v>3xPhlox + Rose/Poppy</v>
      </c>
      <c r="P3" s="46" t="str">
        <f>IF(I3&lt;VLOOKUP(N3,Veriler!A$1:E$8,5,FALSE),"UYGUNDUR","KESİT AKIMI TAŞIYAMIYOR")</f>
        <v>UYGUNDUR</v>
      </c>
    </row>
    <row r="4" spans="1:21" ht="14.4">
      <c r="A4" s="40">
        <v>2</v>
      </c>
      <c r="B4" s="41">
        <v>2</v>
      </c>
      <c r="C4" s="41">
        <v>28</v>
      </c>
      <c r="D4" s="41">
        <v>3</v>
      </c>
      <c r="E4" s="41">
        <v>45</v>
      </c>
      <c r="F4" s="41">
        <v>3780</v>
      </c>
      <c r="G4" s="41">
        <v>5940</v>
      </c>
      <c r="H4" s="41">
        <v>9.0248963129999993</v>
      </c>
      <c r="I4" s="23">
        <v>176.19058939999999</v>
      </c>
      <c r="J4" s="23">
        <v>4933.3365030000004</v>
      </c>
      <c r="K4" s="23">
        <v>22750.8406</v>
      </c>
      <c r="L4" s="23">
        <v>81.253002159999994</v>
      </c>
      <c r="M4" s="45">
        <f>IF(L4&gt;Veriler!$D$1,IF(L4&gt;Veriler!$D$2,IF(L4&gt;Veriler!$D$3,IF(L4&gt;Veriler!$D$4,IF(L4&gt;Veriler!$D$5,IF(L4&gt;Veriler!$D$6,IF(L4&gt;Veriler!$D$7,IF(L4&gt;Veriler!$D$8,"ders sorumlusuna başvur",Veriler!$A$8),Veriler!$A$7),Veriler!$A$6),Veriler!$A$5),Veriler!$A$4),Veriler!$A$3),Veriler!$A$2),Veriler!$A$1)</f>
        <v>7</v>
      </c>
      <c r="N4" s="45">
        <v>7</v>
      </c>
      <c r="O4" s="45" t="str">
        <f>VLOOKUP(N4,Veriler!A$1:C$8,2,FALSE)</f>
        <v>3xPhlox + Rose/Poppy</v>
      </c>
      <c r="P4" s="46" t="str">
        <f>IF(I4&lt;VLOOKUP(N4,Veriler!A$1:E$8,5,FALSE),"UYGUNDUR","KESİT AKIMI TAŞIYAMIYOR")</f>
        <v>UYGUNDUR</v>
      </c>
    </row>
    <row r="5" spans="1:21" ht="14.4">
      <c r="A5" s="40">
        <v>3</v>
      </c>
      <c r="B5" s="41">
        <v>3</v>
      </c>
      <c r="C5" s="41">
        <v>20</v>
      </c>
      <c r="D5" s="41">
        <v>3</v>
      </c>
      <c r="E5" s="41">
        <v>45</v>
      </c>
      <c r="F5" s="41">
        <v>2700</v>
      </c>
      <c r="G5" s="41">
        <v>3915</v>
      </c>
      <c r="H5" s="41">
        <v>5.9482271149999999</v>
      </c>
      <c r="I5" s="23"/>
      <c r="J5" s="23">
        <v>0</v>
      </c>
      <c r="K5" s="23"/>
      <c r="L5" s="23">
        <v>0</v>
      </c>
      <c r="M5" s="45">
        <f>IF(L5&gt;Veriler!$D$1,IF(L5&gt;Veriler!$D$2,IF(L5&gt;Veriler!$D$3,IF(L5&gt;Veriler!$D$4,IF(L5&gt;Veriler!$D$5,IF(L5&gt;Veriler!$D$6,IF(L5&gt;Veriler!$D$7,IF(L5&gt;Veriler!$D$8,"ders sorumlusuna başvur",Veriler!$A$8),Veriler!$A$7),Veriler!$A$6),Veriler!$A$5),Veriler!$A$4),Veriler!$A$3),Veriler!$A$2),Veriler!$A$1)</f>
        <v>1</v>
      </c>
      <c r="N5" s="45">
        <v>1</v>
      </c>
      <c r="O5" s="45" t="str">
        <f>VLOOKUP(N5,Veriler!A$1:C$8,2,FALSE)</f>
        <v>5 x Rose</v>
      </c>
      <c r="P5" s="46" t="str">
        <f>IF(I5&lt;VLOOKUP(N5,Veriler!A$1:E$8,5,FALSE),"UYGUNDUR","KESİT AKIMI TAŞIYAMIYOR")</f>
        <v>UYGUNDUR</v>
      </c>
    </row>
    <row r="6" spans="1:21" ht="14.4">
      <c r="A6" s="40">
        <v>4</v>
      </c>
      <c r="B6" s="41">
        <v>4</v>
      </c>
      <c r="C6" s="41">
        <v>38</v>
      </c>
      <c r="D6" s="41">
        <v>3</v>
      </c>
      <c r="E6" s="41">
        <v>45</v>
      </c>
      <c r="F6" s="41">
        <v>5130</v>
      </c>
      <c r="G6" s="41">
        <v>7155</v>
      </c>
      <c r="H6" s="41">
        <v>2.8715579180000002</v>
      </c>
      <c r="I6" s="23"/>
      <c r="J6" s="23">
        <v>0</v>
      </c>
      <c r="K6" s="23"/>
      <c r="L6" s="23">
        <v>0</v>
      </c>
      <c r="M6" s="45">
        <f>IF(L6&gt;Veriler!$D$1,IF(L6&gt;Veriler!$D$2,IF(L6&gt;Veriler!$D$3,IF(L6&gt;Veriler!$D$4,IF(L6&gt;Veriler!$D$5,IF(L6&gt;Veriler!$D$6,IF(L6&gt;Veriler!$D$7,IF(L6&gt;Veriler!$D$8,"ders sorumlusuna başvur",Veriler!$A$8),Veriler!$A$7),Veriler!$A$6),Veriler!$A$5),Veriler!$A$4),Veriler!$A$3),Veriler!$A$2),Veriler!$A$1)</f>
        <v>1</v>
      </c>
      <c r="N6" s="45">
        <v>1</v>
      </c>
      <c r="O6" s="45" t="str">
        <f>VLOOKUP(N6,Veriler!A$1:C$8,2,FALSE)</f>
        <v>5 x Rose</v>
      </c>
      <c r="P6" s="46" t="str">
        <f>IF(I6&lt;VLOOKUP(N6,Veriler!A$1:E$8,5,FALSE),"UYGUNDUR","KESİT AKIMI TAŞIYAMIYOR")</f>
        <v>UYGUNDUR</v>
      </c>
    </row>
    <row r="7" spans="1:21" ht="14.4">
      <c r="A7" s="40">
        <v>5</v>
      </c>
      <c r="B7" s="41">
        <v>5</v>
      </c>
      <c r="C7" s="41">
        <v>40</v>
      </c>
      <c r="D7" s="41">
        <v>3</v>
      </c>
      <c r="E7" s="41">
        <v>45</v>
      </c>
      <c r="F7" s="41">
        <v>5400</v>
      </c>
      <c r="G7" s="41">
        <v>5400</v>
      </c>
      <c r="H7" s="41">
        <v>8.2044511940000007</v>
      </c>
      <c r="I7" s="23"/>
      <c r="J7" s="23">
        <v>0</v>
      </c>
      <c r="K7" s="23"/>
      <c r="L7" s="23">
        <v>0</v>
      </c>
      <c r="M7" s="45">
        <f>IF(L7&gt;Veriler!$D$1,IF(L7&gt;Veriler!$D$2,IF(L7&gt;Veriler!$D$3,IF(L7&gt;Veriler!$D$4,IF(L7&gt;Veriler!$D$5,IF(L7&gt;Veriler!$D$6,IF(L7&gt;Veriler!$D$7,IF(L7&gt;Veriler!$D$8,"ders sorumlusuna başvur",Veriler!$A$8),Veriler!$A$7),Veriler!$A$6),Veriler!$A$5),Veriler!$A$4),Veriler!$A$3),Veriler!$A$2),Veriler!$A$1)</f>
        <v>1</v>
      </c>
      <c r="N7" s="45">
        <v>1</v>
      </c>
      <c r="O7" s="45" t="str">
        <f>VLOOKUP(N7,Veriler!A$1:C$8,2,FALSE)</f>
        <v>5 x Rose</v>
      </c>
      <c r="P7" s="46" t="str">
        <f>IF(I7&lt;VLOOKUP(N7,Veriler!A$1:E$8,5,FALSE),"UYGUNDUR","KESİT AKIMI TAŞIYAMIYOR")</f>
        <v>UYGUNDUR</v>
      </c>
    </row>
    <row r="8" spans="1:21" ht="14.4">
      <c r="A8" s="40">
        <v>6</v>
      </c>
      <c r="B8" s="41">
        <v>6</v>
      </c>
      <c r="C8" s="41">
        <v>40</v>
      </c>
      <c r="D8" s="41">
        <v>3</v>
      </c>
      <c r="E8" s="41">
        <v>45</v>
      </c>
      <c r="F8" s="41">
        <v>5400</v>
      </c>
      <c r="G8" s="41">
        <v>2700</v>
      </c>
      <c r="H8" s="41">
        <v>4.1022255970000003</v>
      </c>
      <c r="I8" s="23"/>
      <c r="J8" s="23">
        <v>0</v>
      </c>
      <c r="K8" s="23"/>
      <c r="L8" s="23">
        <v>0</v>
      </c>
      <c r="M8" s="45">
        <f>IF(L8&gt;Veriler!$D$1,IF(L8&gt;Veriler!$D$2,IF(L8&gt;Veriler!$D$3,IF(L8&gt;Veriler!$D$4,IF(L8&gt;Veriler!$D$5,IF(L8&gt;Veriler!$D$6,IF(L8&gt;Veriler!$D$7,IF(L8&gt;Veriler!$D$8,"ders sorumlusuna başvur",Veriler!$A$8),Veriler!$A$7),Veriler!$A$6),Veriler!$A$5),Veriler!$A$4),Veriler!$A$3),Veriler!$A$2),Veriler!$A$1)</f>
        <v>1</v>
      </c>
      <c r="N8" s="45">
        <v>1</v>
      </c>
      <c r="O8" s="45" t="str">
        <f>VLOOKUP(N8,Veriler!A$1:C$8,2,FALSE)</f>
        <v>5 x Rose</v>
      </c>
      <c r="P8" s="46" t="str">
        <f>IF(I8&lt;VLOOKUP(N8,Veriler!A$1:E$8,5,FALSE),"UYGUNDUR","KESİT AKIMI TAŞIYAMIYOR")</f>
        <v>UYGUNDUR</v>
      </c>
    </row>
    <row r="9" spans="1:21" ht="14.4">
      <c r="A9" s="40">
        <v>7</v>
      </c>
      <c r="B9" s="41">
        <v>7</v>
      </c>
      <c r="C9" s="41">
        <v>28</v>
      </c>
      <c r="D9" s="41">
        <v>3</v>
      </c>
      <c r="E9" s="41">
        <v>45</v>
      </c>
      <c r="F9" s="41">
        <v>3780</v>
      </c>
      <c r="G9" s="41">
        <v>4252.5</v>
      </c>
      <c r="H9" s="41">
        <v>6.4610053150000004</v>
      </c>
      <c r="I9" s="23"/>
      <c r="J9" s="23">
        <v>0</v>
      </c>
      <c r="K9" s="23"/>
      <c r="L9" s="23">
        <v>0</v>
      </c>
      <c r="M9" s="45">
        <f>IF(L9&gt;Veriler!$D$1,IF(L9&gt;Veriler!$D$2,IF(L9&gt;Veriler!$D$3,IF(L9&gt;Veriler!$D$4,IF(L9&gt;Veriler!$D$5,IF(L9&gt;Veriler!$D$6,IF(L9&gt;Veriler!$D$7,IF(L9&gt;Veriler!$D$8,"ders sorumlusuna başvur",Veriler!$A$8),Veriler!$A$7),Veriler!$A$6),Veriler!$A$5),Veriler!$A$4),Veriler!$A$3),Veriler!$A$2),Veriler!$A$1)</f>
        <v>1</v>
      </c>
      <c r="N9" s="45">
        <v>1</v>
      </c>
      <c r="O9" s="45" t="str">
        <f>VLOOKUP(N9,Veriler!A$1:C$8,2,FALSE)</f>
        <v>5 x Rose</v>
      </c>
      <c r="P9" s="46" t="str">
        <f>IF(I9&lt;VLOOKUP(N9,Veriler!A$1:E$8,5,FALSE),"UYGUNDUR","KESİT AKIMI TAŞIYAMIYOR")</f>
        <v>UYGUNDUR</v>
      </c>
    </row>
    <row r="10" spans="1:21" ht="14.4">
      <c r="A10" s="40">
        <v>8</v>
      </c>
      <c r="B10" s="41">
        <v>8</v>
      </c>
      <c r="C10" s="41">
        <v>35</v>
      </c>
      <c r="D10" s="41">
        <v>3</v>
      </c>
      <c r="E10" s="41">
        <v>45</v>
      </c>
      <c r="F10" s="41">
        <v>4725</v>
      </c>
      <c r="G10" s="41">
        <v>4860</v>
      </c>
      <c r="H10" s="41">
        <v>7.3840060740000002</v>
      </c>
      <c r="I10" s="23"/>
      <c r="J10" s="23">
        <v>0</v>
      </c>
      <c r="K10" s="23"/>
      <c r="L10" s="23">
        <v>0</v>
      </c>
      <c r="M10" s="45">
        <f>IF(L10&gt;Veriler!$D$1,IF(L10&gt;Veriler!$D$2,IF(L10&gt;Veriler!$D$3,IF(L10&gt;Veriler!$D$4,IF(L10&gt;Veriler!$D$5,IF(L10&gt;Veriler!$D$6,IF(L10&gt;Veriler!$D$7,IF(L10&gt;Veriler!$D$8,"ders sorumlusuna başvur",Veriler!$A$8),Veriler!$A$7),Veriler!$A$6),Veriler!$A$5),Veriler!$A$4),Veriler!$A$3),Veriler!$A$2),Veriler!$A$1)</f>
        <v>1</v>
      </c>
      <c r="N10" s="45">
        <v>1</v>
      </c>
      <c r="O10" s="45" t="str">
        <f>VLOOKUP(N10,Veriler!A$1:C$8,2,FALSE)</f>
        <v>5 x Rose</v>
      </c>
      <c r="P10" s="46" t="str">
        <f>IF(I10&lt;VLOOKUP(N10,Veriler!A$1:E$8,5,FALSE),"UYGUNDUR","KESİT AKIMI TAŞIYAMIYOR")</f>
        <v>UYGUNDUR</v>
      </c>
    </row>
    <row r="11" spans="1:21" ht="14.4">
      <c r="A11" s="40">
        <v>9</v>
      </c>
      <c r="B11" s="41">
        <v>9</v>
      </c>
      <c r="C11" s="41">
        <v>37</v>
      </c>
      <c r="D11" s="41">
        <v>3</v>
      </c>
      <c r="E11" s="41">
        <v>45</v>
      </c>
      <c r="F11" s="41">
        <v>4995</v>
      </c>
      <c r="G11" s="41">
        <v>7560</v>
      </c>
      <c r="H11" s="41">
        <v>11.48623167</v>
      </c>
      <c r="I11" s="23"/>
      <c r="J11" s="23">
        <v>0</v>
      </c>
      <c r="K11" s="23"/>
      <c r="L11" s="23">
        <v>0</v>
      </c>
      <c r="M11" s="45">
        <f>IF(L11&gt;Veriler!$D$1,IF(L11&gt;Veriler!$D$2,IF(L11&gt;Veriler!$D$3,IF(L11&gt;Veriler!$D$4,IF(L11&gt;Veriler!$D$5,IF(L11&gt;Veriler!$D$6,IF(L11&gt;Veriler!$D$7,IF(L11&gt;Veriler!$D$8,"ders sorumlusuna başvur",Veriler!$A$8),Veriler!$A$7),Veriler!$A$6),Veriler!$A$5),Veriler!$A$4),Veriler!$A$3),Veriler!$A$2),Veriler!$A$1)</f>
        <v>1</v>
      </c>
      <c r="N11" s="45">
        <v>1</v>
      </c>
      <c r="O11" s="45" t="str">
        <f>VLOOKUP(N11,Veriler!A$1:C$8,2,FALSE)</f>
        <v>5 x Rose</v>
      </c>
      <c r="P11" s="46" t="str">
        <f>IF(I11&lt;VLOOKUP(N11,Veriler!A$1:E$8,5,FALSE),"UYGUNDUR","KESİT AKIMI TAŞIYAMIYOR")</f>
        <v>UYGUNDUR</v>
      </c>
    </row>
    <row r="12" spans="1:21" ht="14.4">
      <c r="A12" s="40">
        <v>10</v>
      </c>
      <c r="B12" s="41">
        <v>10</v>
      </c>
      <c r="C12" s="41">
        <v>35</v>
      </c>
      <c r="D12" s="41">
        <v>3</v>
      </c>
      <c r="E12" s="41">
        <v>45</v>
      </c>
      <c r="F12" s="41">
        <v>4725</v>
      </c>
      <c r="G12" s="41">
        <v>4725</v>
      </c>
      <c r="H12" s="41">
        <v>7.1788947949999997</v>
      </c>
      <c r="I12" s="23"/>
      <c r="J12" s="23">
        <v>0</v>
      </c>
      <c r="K12" s="23"/>
      <c r="L12" s="23">
        <v>0</v>
      </c>
      <c r="M12" s="45">
        <f>IF(L12&gt;Veriler!$D$1,IF(L12&gt;Veriler!$D$2,IF(L12&gt;Veriler!$D$3,IF(L12&gt;Veriler!$D$4,IF(L12&gt;Veriler!$D$5,IF(L12&gt;Veriler!$D$6,IF(L12&gt;Veriler!$D$7,IF(L12&gt;Veriler!$D$8,"ders sorumlusuna başvur",Veriler!$A$8),Veriler!$A$7),Veriler!$A$6),Veriler!$A$5),Veriler!$A$4),Veriler!$A$3),Veriler!$A$2),Veriler!$A$1)</f>
        <v>1</v>
      </c>
      <c r="N12" s="45">
        <v>1</v>
      </c>
      <c r="O12" s="45" t="str">
        <f>VLOOKUP(N12,Veriler!A$1:C$8,2,FALSE)</f>
        <v>5 x Rose</v>
      </c>
      <c r="P12" s="46" t="str">
        <f>IF(I12&lt;VLOOKUP(N12,Veriler!A$1:E$8,5,FALSE),"UYGUNDUR","KESİT AKIMI TAŞIYAMIYOR")</f>
        <v>UYGUNDUR</v>
      </c>
    </row>
    <row r="13" spans="1:21" ht="14.4">
      <c r="A13" s="40">
        <v>11</v>
      </c>
      <c r="B13" s="41">
        <v>11</v>
      </c>
      <c r="C13" s="41">
        <v>35</v>
      </c>
      <c r="D13" s="41">
        <v>3</v>
      </c>
      <c r="E13" s="41">
        <v>45</v>
      </c>
      <c r="F13" s="41">
        <v>4725</v>
      </c>
      <c r="G13" s="41">
        <v>2362.5</v>
      </c>
      <c r="H13" s="41">
        <v>3.5894473969999998</v>
      </c>
      <c r="I13" s="23"/>
      <c r="J13" s="23">
        <v>0</v>
      </c>
      <c r="K13" s="23"/>
      <c r="L13" s="23">
        <v>0</v>
      </c>
      <c r="M13" s="45">
        <f>IF(L13&gt;Veriler!$D$1,IF(L13&gt;Veriler!$D$2,IF(L13&gt;Veriler!$D$3,IF(L13&gt;Veriler!$D$4,IF(L13&gt;Veriler!$D$5,IF(L13&gt;Veriler!$D$6,IF(L13&gt;Veriler!$D$7,IF(L13&gt;Veriler!$D$8,"ders sorumlusuna başvur",Veriler!$A$8),Veriler!$A$7),Veriler!$A$6),Veriler!$A$5),Veriler!$A$4),Veriler!$A$3),Veriler!$A$2),Veriler!$A$1)</f>
        <v>1</v>
      </c>
      <c r="N13" s="45">
        <v>1</v>
      </c>
      <c r="O13" s="45" t="str">
        <f>VLOOKUP(N13,Veriler!A$1:C$8,2,FALSE)</f>
        <v>5 x Rose</v>
      </c>
      <c r="P13" s="46" t="str">
        <f>IF(I13&lt;VLOOKUP(N13,Veriler!A$1:E$8,5,FALSE),"UYGUNDUR","KESİT AKIMI TAŞIYAMIYOR")</f>
        <v>UYGUNDUR</v>
      </c>
    </row>
    <row r="14" spans="1:21" ht="14.4">
      <c r="A14" s="40">
        <v>12</v>
      </c>
      <c r="B14" s="41">
        <v>12</v>
      </c>
      <c r="C14" s="41">
        <v>40</v>
      </c>
      <c r="D14" s="41">
        <v>3</v>
      </c>
      <c r="E14" s="41">
        <v>45</v>
      </c>
      <c r="F14" s="41">
        <v>5400</v>
      </c>
      <c r="G14" s="41">
        <v>5400</v>
      </c>
      <c r="H14" s="41">
        <v>8.2044511940000007</v>
      </c>
      <c r="I14" s="23"/>
      <c r="J14" s="23">
        <v>0</v>
      </c>
      <c r="K14" s="23"/>
      <c r="L14" s="23">
        <v>0</v>
      </c>
      <c r="M14" s="45">
        <f>IF(L14&gt;Veriler!$D$1,IF(L14&gt;Veriler!$D$2,IF(L14&gt;Veriler!$D$3,IF(L14&gt;Veriler!$D$4,IF(L14&gt;Veriler!$D$5,IF(L14&gt;Veriler!$D$6,IF(L14&gt;Veriler!$D$7,IF(L14&gt;Veriler!$D$8,"ders sorumlusuna başvur",Veriler!$A$8),Veriler!$A$7),Veriler!$A$6),Veriler!$A$5),Veriler!$A$4),Veriler!$A$3),Veriler!$A$2),Veriler!$A$1)</f>
        <v>1</v>
      </c>
      <c r="N14" s="45">
        <v>1</v>
      </c>
      <c r="O14" s="45" t="str">
        <f>VLOOKUP(N14,Veriler!A$1:C$8,2,FALSE)</f>
        <v>5 x Rose</v>
      </c>
      <c r="P14" s="46" t="str">
        <f>IF(I14&lt;VLOOKUP(N14,Veriler!A$1:E$8,5,FALSE),"UYGUNDUR","KESİT AKIMI TAŞIYAMIYOR")</f>
        <v>UYGUNDUR</v>
      </c>
    </row>
    <row r="15" spans="1:21" ht="14.4">
      <c r="A15" s="40">
        <v>13</v>
      </c>
      <c r="B15" s="41">
        <v>13</v>
      </c>
      <c r="C15" s="41">
        <v>40</v>
      </c>
      <c r="D15" s="41">
        <v>3</v>
      </c>
      <c r="E15" s="41">
        <v>45</v>
      </c>
      <c r="F15" s="41">
        <v>5400</v>
      </c>
      <c r="G15" s="41">
        <v>2700</v>
      </c>
      <c r="H15" s="41">
        <v>4.1022255970000003</v>
      </c>
      <c r="I15" s="23"/>
      <c r="J15" s="23">
        <v>0</v>
      </c>
      <c r="K15" s="23"/>
      <c r="L15" s="23">
        <v>0</v>
      </c>
      <c r="M15" s="45">
        <f>IF(L15&gt;Veriler!$D$1,IF(L15&gt;Veriler!$D$2,IF(L15&gt;Veriler!$D$3,IF(L15&gt;Veriler!$D$4,IF(L15&gt;Veriler!$D$5,IF(L15&gt;Veriler!$D$6,IF(L15&gt;Veriler!$D$7,IF(L15&gt;Veriler!$D$8,"ders sorumlusuna başvur",Veriler!$A$8),Veriler!$A$7),Veriler!$A$6),Veriler!$A$5),Veriler!$A$4),Veriler!$A$3),Veriler!$A$2),Veriler!$A$1)</f>
        <v>1</v>
      </c>
      <c r="N15" s="45">
        <v>1</v>
      </c>
      <c r="O15" s="45" t="str">
        <f>VLOOKUP(N15,Veriler!A$1:C$8,2,FALSE)</f>
        <v>5 x Rose</v>
      </c>
      <c r="P15" s="46" t="str">
        <f>IF(I15&lt;VLOOKUP(N15,Veriler!A$1:E$8,5,FALSE),"UYGUNDUR","KESİT AKIMI TAŞIYAMIYOR")</f>
        <v>UYGUNDUR</v>
      </c>
    </row>
    <row r="16" spans="1:21" ht="14.4">
      <c r="A16" s="40">
        <v>14</v>
      </c>
      <c r="B16" s="41">
        <v>14</v>
      </c>
      <c r="C16" s="41">
        <v>40</v>
      </c>
      <c r="D16" s="41">
        <v>3</v>
      </c>
      <c r="E16" s="41">
        <v>45</v>
      </c>
      <c r="F16" s="41">
        <v>5400</v>
      </c>
      <c r="G16" s="41">
        <v>4927.5</v>
      </c>
      <c r="H16" s="41">
        <v>7.4865617139999996</v>
      </c>
      <c r="I16" s="23">
        <v>97.632969200000005</v>
      </c>
      <c r="J16" s="23">
        <v>3905.3187680000001</v>
      </c>
      <c r="K16" s="23">
        <v>17817.504099999998</v>
      </c>
      <c r="L16" s="23">
        <v>63.633943219999999</v>
      </c>
      <c r="M16" s="45">
        <f>IF(L16&gt;Veriler!$D$1,IF(L16&gt;Veriler!$D$2,IF(L16&gt;Veriler!$D$3,IF(L16&gt;Veriler!$D$4,IF(L16&gt;Veriler!$D$5,IF(L16&gt;Veriler!$D$6,IF(L16&gt;Veriler!$D$7,IF(L16&gt;Veriler!$D$8,"ders sorumlusuna başvur",Veriler!$A$8),Veriler!$A$7),Veriler!$A$6),Veriler!$A$5),Veriler!$A$4),Veriler!$A$3),Veriler!$A$2),Veriler!$A$1)</f>
        <v>6</v>
      </c>
      <c r="N16" s="45">
        <v>6</v>
      </c>
      <c r="O16" s="45" t="str">
        <f>VLOOKUP(N16,Veriler!A$1:C$8,2,FALSE)</f>
        <v>3xAster+Rose/Pansy</v>
      </c>
      <c r="P16" s="46" t="str">
        <f>IF(I16&lt;VLOOKUP(N16,Veriler!A$1:E$8,5,FALSE),"UYGUNDUR","KESİT AKIMI TAŞIYAMIYOR")</f>
        <v>UYGUNDUR</v>
      </c>
    </row>
    <row r="17" spans="1:16" ht="14.4">
      <c r="A17" s="40">
        <v>15</v>
      </c>
      <c r="B17" s="41">
        <v>15</v>
      </c>
      <c r="C17" s="41">
        <v>33</v>
      </c>
      <c r="D17" s="41">
        <v>3</v>
      </c>
      <c r="E17" s="41">
        <v>45</v>
      </c>
      <c r="F17" s="41">
        <v>4455</v>
      </c>
      <c r="G17" s="41">
        <v>4455</v>
      </c>
      <c r="H17" s="41">
        <v>6.7686722350000004</v>
      </c>
      <c r="I17" s="23">
        <v>90.146407490000001</v>
      </c>
      <c r="J17" s="23">
        <v>2974.831447</v>
      </c>
      <c r="K17" s="23">
        <v>13912.18533</v>
      </c>
      <c r="L17" s="23">
        <v>49.686376189999997</v>
      </c>
      <c r="M17" s="45">
        <f>IF(L17&gt;Veriler!$D$1,IF(L17&gt;Veriler!$D$2,IF(L17&gt;Veriler!$D$3,IF(L17&gt;Veriler!$D$4,IF(L17&gt;Veriler!$D$5,IF(L17&gt;Veriler!$D$6,IF(L17&gt;Veriler!$D$7,IF(L17&gt;Veriler!$D$8,"ders sorumlusuna başvur",Veriler!$A$8),Veriler!$A$7),Veriler!$A$6),Veriler!$A$5),Veriler!$A$4),Veriler!$A$3),Veriler!$A$2),Veriler!$A$1)</f>
        <v>5</v>
      </c>
      <c r="N17" s="45">
        <v>6</v>
      </c>
      <c r="O17" s="45" t="str">
        <f>VLOOKUP(N17,Veriler!A$1:C$8,2,FALSE)</f>
        <v>3xAster+Rose/Pansy</v>
      </c>
      <c r="P17" s="46" t="str">
        <f>IF(I17&lt;VLOOKUP(N17,Veriler!A$1:E$8,5,FALSE),"UYGUNDUR","KESİT AKIMI TAŞIYAMIYOR")</f>
        <v>UYGUNDUR</v>
      </c>
    </row>
    <row r="18" spans="1:16" ht="14.4">
      <c r="A18" s="40">
        <v>16</v>
      </c>
      <c r="B18" s="41">
        <v>16</v>
      </c>
      <c r="C18" s="41">
        <v>33</v>
      </c>
      <c r="D18" s="41">
        <v>3</v>
      </c>
      <c r="E18" s="41">
        <v>45</v>
      </c>
      <c r="F18" s="41">
        <v>4455</v>
      </c>
      <c r="G18" s="41">
        <v>4455</v>
      </c>
      <c r="H18" s="41">
        <v>6.7686722350000004</v>
      </c>
      <c r="I18" s="23">
        <v>83.377735250000001</v>
      </c>
      <c r="J18" s="23">
        <v>2751.465263</v>
      </c>
      <c r="K18" s="23">
        <v>10937.35389</v>
      </c>
      <c r="L18" s="23">
        <v>39.061978160000002</v>
      </c>
      <c r="M18" s="45">
        <f>IF(L18&gt;Veriler!$D$1,IF(L18&gt;Veriler!$D$2,IF(L18&gt;Veriler!$D$3,IF(L18&gt;Veriler!$D$4,IF(L18&gt;Veriler!$D$5,IF(L18&gt;Veriler!$D$6,IF(L18&gt;Veriler!$D$7,IF(L18&gt;Veriler!$D$8,"ders sorumlusuna başvur",Veriler!$A$8),Veriler!$A$7),Veriler!$A$6),Veriler!$A$5),Veriler!$A$4),Veriler!$A$3),Veriler!$A$2),Veriler!$A$1)</f>
        <v>4</v>
      </c>
      <c r="N18" s="45">
        <v>6</v>
      </c>
      <c r="O18" s="45" t="str">
        <f>VLOOKUP(N18,Veriler!A$1:C$8,2,FALSE)</f>
        <v>3xAster+Rose/Pansy</v>
      </c>
      <c r="P18" s="46" t="str">
        <f>IF(I18&lt;VLOOKUP(N18,Veriler!A$1:E$8,5,FALSE),"UYGUNDUR","KESİT AKIMI TAŞIYAMIYOR")</f>
        <v>UYGUNDUR</v>
      </c>
    </row>
    <row r="19" spans="1:16" ht="14.4">
      <c r="A19" s="40">
        <v>17</v>
      </c>
      <c r="B19" s="41">
        <v>17</v>
      </c>
      <c r="C19" s="41">
        <v>33</v>
      </c>
      <c r="D19" s="41">
        <v>3</v>
      </c>
      <c r="E19" s="41">
        <v>45</v>
      </c>
      <c r="F19" s="41">
        <v>4455</v>
      </c>
      <c r="G19" s="41">
        <v>6817.5</v>
      </c>
      <c r="H19" s="41">
        <v>10.358119629999999</v>
      </c>
      <c r="I19" s="23">
        <v>76.609063019999994</v>
      </c>
      <c r="J19" s="23">
        <v>2528.09908</v>
      </c>
      <c r="K19" s="23">
        <v>8185.8886229999998</v>
      </c>
      <c r="L19" s="23">
        <v>29.235316510000001</v>
      </c>
      <c r="M19" s="45">
        <f>IF(L19&gt;Veriler!$D$1,IF(L19&gt;Veriler!$D$2,IF(L19&gt;Veriler!$D$3,IF(L19&gt;Veriler!$D$4,IF(L19&gt;Veriler!$D$5,IF(L19&gt;Veriler!$D$6,IF(L19&gt;Veriler!$D$7,IF(L19&gt;Veriler!$D$8,"ders sorumlusuna başvur",Veriler!$A$8),Veriler!$A$7),Veriler!$A$6),Veriler!$A$5),Veriler!$A$4),Veriler!$A$3),Veriler!$A$2),Veriler!$A$1)</f>
        <v>3</v>
      </c>
      <c r="N19" s="45">
        <v>1</v>
      </c>
      <c r="O19" s="45" t="str">
        <f>VLOOKUP(N19,Veriler!A$1:C$8,2,FALSE)</f>
        <v>5 x Rose</v>
      </c>
      <c r="P19" s="46" t="str">
        <f>IF(I19&lt;VLOOKUP(N19,Veriler!A$1:E$8,5,FALSE),"UYGUNDUR","KESİT AKIMI TAŞIYAMIYOR")</f>
        <v>UYGUNDUR</v>
      </c>
    </row>
    <row r="20" spans="1:16" ht="14.4">
      <c r="A20" s="40">
        <v>18</v>
      </c>
      <c r="B20" s="41">
        <v>18</v>
      </c>
      <c r="C20" s="41">
        <v>35</v>
      </c>
      <c r="D20" s="41">
        <v>3</v>
      </c>
      <c r="E20" s="41">
        <v>45</v>
      </c>
      <c r="F20" s="41">
        <v>4725</v>
      </c>
      <c r="G20" s="41">
        <v>4725</v>
      </c>
      <c r="H20" s="41">
        <v>7.1788947949999997</v>
      </c>
      <c r="I20" s="23"/>
      <c r="J20" s="23">
        <v>0</v>
      </c>
      <c r="K20" s="23"/>
      <c r="L20" s="23">
        <v>0</v>
      </c>
      <c r="M20" s="45">
        <f>IF(L20&gt;Veriler!$D$1,IF(L20&gt;Veriler!$D$2,IF(L20&gt;Veriler!$D$3,IF(L20&gt;Veriler!$D$4,IF(L20&gt;Veriler!$D$5,IF(L20&gt;Veriler!$D$6,IF(L20&gt;Veriler!$D$7,IF(L20&gt;Veriler!$D$8,"ders sorumlusuna başvur",Veriler!$A$8),Veriler!$A$7),Veriler!$A$6),Veriler!$A$5),Veriler!$A$4),Veriler!$A$3),Veriler!$A$2),Veriler!$A$1)</f>
        <v>1</v>
      </c>
      <c r="N20" s="45">
        <v>1</v>
      </c>
      <c r="O20" s="45" t="str">
        <f>VLOOKUP(N20,Veriler!A$1:C$8,2,FALSE)</f>
        <v>5 x Rose</v>
      </c>
      <c r="P20" s="46" t="str">
        <f>IF(I20&lt;VLOOKUP(N20,Veriler!A$1:E$8,5,FALSE),"UYGUNDUR","KESİT AKIMI TAŞIYAMIYOR")</f>
        <v>UYGUNDUR</v>
      </c>
    </row>
    <row r="21" spans="1:16" ht="14.4">
      <c r="A21" s="40">
        <v>19</v>
      </c>
      <c r="B21" s="41">
        <v>19</v>
      </c>
      <c r="C21" s="41">
        <v>35</v>
      </c>
      <c r="D21" s="41">
        <v>3</v>
      </c>
      <c r="E21" s="41">
        <v>45</v>
      </c>
      <c r="F21" s="41">
        <v>4725</v>
      </c>
      <c r="G21" s="41">
        <v>2362.5</v>
      </c>
      <c r="H21" s="41">
        <v>3.5894473969999998</v>
      </c>
      <c r="I21" s="23"/>
      <c r="J21" s="23">
        <v>0</v>
      </c>
      <c r="K21" s="23"/>
      <c r="L21" s="23">
        <v>0</v>
      </c>
      <c r="M21" s="45">
        <f>IF(L21&gt;Veriler!$D$1,IF(L21&gt;Veriler!$D$2,IF(L21&gt;Veriler!$D$3,IF(L21&gt;Veriler!$D$4,IF(L21&gt;Veriler!$D$5,IF(L21&gt;Veriler!$D$6,IF(L21&gt;Veriler!$D$7,IF(L21&gt;Veriler!$D$8,"ders sorumlusuna başvur",Veriler!$A$8),Veriler!$A$7),Veriler!$A$6),Veriler!$A$5),Veriler!$A$4),Veriler!$A$3),Veriler!$A$2),Veriler!$A$1)</f>
        <v>1</v>
      </c>
      <c r="N21" s="45">
        <v>1</v>
      </c>
      <c r="O21" s="45" t="str">
        <f>VLOOKUP(N21,Veriler!A$1:C$8,2,FALSE)</f>
        <v>5 x Rose</v>
      </c>
      <c r="P21" s="46" t="str">
        <f>IF(I21&lt;VLOOKUP(N21,Veriler!A$1:E$8,5,FALSE),"UYGUNDUR","KESİT AKIMI TAŞIYAMIYOR")</f>
        <v>UYGUNDUR</v>
      </c>
    </row>
    <row r="22" spans="1:16" ht="14.4">
      <c r="A22" s="40">
        <v>20</v>
      </c>
      <c r="B22" s="41">
        <v>20</v>
      </c>
      <c r="C22" s="41">
        <v>33</v>
      </c>
      <c r="D22" s="41">
        <v>3</v>
      </c>
      <c r="E22" s="41">
        <v>45</v>
      </c>
      <c r="F22" s="41">
        <v>4455</v>
      </c>
      <c r="G22" s="41">
        <v>4455</v>
      </c>
      <c r="H22" s="41">
        <v>6.7686722350000004</v>
      </c>
      <c r="I22" s="23">
        <v>55.482601199999998</v>
      </c>
      <c r="J22" s="23">
        <v>1830.9258400000001</v>
      </c>
      <c r="K22" s="23">
        <v>5657.7895429999999</v>
      </c>
      <c r="L22" s="23">
        <v>20.206391230000001</v>
      </c>
      <c r="M22" s="45">
        <f>IF(L22&gt;Veriler!$D$1,IF(L22&gt;Veriler!$D$2,IF(L22&gt;Veriler!$D$3,IF(L22&gt;Veriler!$D$4,IF(L22&gt;Veriler!$D$5,IF(L22&gt;Veriler!$D$6,IF(L22&gt;Veriler!$D$7,IF(L22&gt;Veriler!$D$8,"ders sorumlusuna başvur",Veriler!$A$8),Veriler!$A$7),Veriler!$A$6),Veriler!$A$5),Veriler!$A$4),Veriler!$A$3),Veriler!$A$2),Veriler!$A$1)</f>
        <v>1</v>
      </c>
      <c r="N22" s="45">
        <v>1</v>
      </c>
      <c r="O22" s="45" t="str">
        <f>VLOOKUP(N22,Veriler!A$1:C$8,2,FALSE)</f>
        <v>5 x Rose</v>
      </c>
      <c r="P22" s="46" t="str">
        <f>IF(I22&lt;VLOOKUP(N22,Veriler!A$1:E$8,5,FALSE),"UYGUNDUR","KESİT AKIMI TAŞIYAMIYOR")</f>
        <v>UYGUNDUR</v>
      </c>
    </row>
    <row r="23" spans="1:16" ht="14.4">
      <c r="A23" s="40">
        <v>21</v>
      </c>
      <c r="B23" s="41">
        <v>21</v>
      </c>
      <c r="C23" s="41">
        <v>33</v>
      </c>
      <c r="D23" s="41">
        <v>3</v>
      </c>
      <c r="E23" s="41">
        <v>45</v>
      </c>
      <c r="F23" s="41">
        <v>4455</v>
      </c>
      <c r="G23" s="41">
        <v>3577.5</v>
      </c>
      <c r="H23" s="41">
        <v>5.4354489160000004</v>
      </c>
      <c r="I23" s="23">
        <v>48.713928959999997</v>
      </c>
      <c r="J23" s="23">
        <v>1607.5596559999999</v>
      </c>
      <c r="K23" s="23">
        <v>3826.8637039999999</v>
      </c>
      <c r="L23" s="23">
        <v>13.66737037</v>
      </c>
      <c r="M23" s="45">
        <f>IF(L23&gt;Veriler!$D$1,IF(L23&gt;Veriler!$D$2,IF(L23&gt;Veriler!$D$3,IF(L23&gt;Veriler!$D$4,IF(L23&gt;Veriler!$D$5,IF(L23&gt;Veriler!$D$6,IF(L23&gt;Veriler!$D$7,IF(L23&gt;Veriler!$D$8,"ders sorumlusuna başvur",Veriler!$A$8),Veriler!$A$7),Veriler!$A$6),Veriler!$A$5),Veriler!$A$4),Veriler!$A$3),Veriler!$A$2),Veriler!$A$1)</f>
        <v>1</v>
      </c>
      <c r="N23" s="45">
        <v>1</v>
      </c>
      <c r="O23" s="45" t="str">
        <f>VLOOKUP(N23,Veriler!A$1:C$8,2,FALSE)</f>
        <v>5 x Rose</v>
      </c>
      <c r="P23" s="46" t="str">
        <f>IF(I23&lt;VLOOKUP(N23,Veriler!A$1:E$8,5,FALSE),"UYGUNDUR","KESİT AKIMI TAŞIYAMIYOR")</f>
        <v>UYGUNDUR</v>
      </c>
    </row>
    <row r="24" spans="1:16" ht="14.4">
      <c r="A24" s="40">
        <v>22</v>
      </c>
      <c r="B24" s="41">
        <v>22</v>
      </c>
      <c r="C24" s="41">
        <v>20</v>
      </c>
      <c r="D24" s="41">
        <v>3</v>
      </c>
      <c r="E24" s="41">
        <v>45</v>
      </c>
      <c r="F24" s="41">
        <v>2700</v>
      </c>
      <c r="G24" s="41">
        <v>4927.5</v>
      </c>
      <c r="H24" s="41">
        <v>7.4865617139999996</v>
      </c>
      <c r="I24" s="23">
        <v>43.278480049999999</v>
      </c>
      <c r="J24" s="23">
        <v>865.56960089999995</v>
      </c>
      <c r="K24" s="23">
        <v>2219.304048</v>
      </c>
      <c r="L24" s="23">
        <v>7.926085885</v>
      </c>
      <c r="M24" s="45">
        <f>IF(L24&gt;Veriler!$D$1,IF(L24&gt;Veriler!$D$2,IF(L24&gt;Veriler!$D$3,IF(L24&gt;Veriler!$D$4,IF(L24&gt;Veriler!$D$5,IF(L24&gt;Veriler!$D$6,IF(L24&gt;Veriler!$D$7,IF(L24&gt;Veriler!$D$8,"ders sorumlusuna başvur",Veriler!$A$8),Veriler!$A$7),Veriler!$A$6),Veriler!$A$5),Veriler!$A$4),Veriler!$A$3),Veriler!$A$2),Veriler!$A$1)</f>
        <v>1</v>
      </c>
      <c r="N24" s="45">
        <v>1</v>
      </c>
      <c r="O24" s="45" t="str">
        <f>VLOOKUP(N24,Veriler!A$1:C$8,2,FALSE)</f>
        <v>5 x Rose</v>
      </c>
      <c r="P24" s="46" t="str">
        <f>IF(I24&lt;VLOOKUP(N24,Veriler!A$1:E$8,5,FALSE),"UYGUNDUR","KESİT AKIMI TAŞIYAMIYOR")</f>
        <v>UYGUNDUR</v>
      </c>
    </row>
    <row r="25" spans="1:16" ht="14.4">
      <c r="A25" s="40">
        <v>23</v>
      </c>
      <c r="B25" s="41">
        <v>23</v>
      </c>
      <c r="C25" s="41">
        <v>40</v>
      </c>
      <c r="D25" s="41">
        <v>3</v>
      </c>
      <c r="E25" s="41">
        <v>45</v>
      </c>
      <c r="F25" s="41">
        <v>5400</v>
      </c>
      <c r="G25" s="41">
        <v>5400</v>
      </c>
      <c r="H25" s="41">
        <v>5.9482271149999999</v>
      </c>
      <c r="I25" s="23"/>
      <c r="J25" s="23">
        <v>0</v>
      </c>
      <c r="K25" s="23"/>
      <c r="L25" s="23">
        <v>0</v>
      </c>
      <c r="M25" s="45">
        <f>IF(L25&gt;Veriler!$D$1,IF(L25&gt;Veriler!$D$2,IF(L25&gt;Veriler!$D$3,IF(L25&gt;Veriler!$D$4,IF(L25&gt;Veriler!$D$5,IF(L25&gt;Veriler!$D$6,IF(L25&gt;Veriler!$D$7,IF(L25&gt;Veriler!$D$8,"ders sorumlusuna başvur",Veriler!$A$8),Veriler!$A$7),Veriler!$A$6),Veriler!$A$5),Veriler!$A$4),Veriler!$A$3),Veriler!$A$2),Veriler!$A$1)</f>
        <v>1</v>
      </c>
      <c r="N25" s="45">
        <v>1</v>
      </c>
      <c r="O25" s="45" t="str">
        <f>VLOOKUP(N25,Veriler!A$1:C$8,2,FALSE)</f>
        <v>5 x Rose</v>
      </c>
      <c r="P25" s="46" t="str">
        <f>IF(I25&lt;VLOOKUP(N25,Veriler!A$1:E$8,5,FALSE),"UYGUNDUR","KESİT AKIMI TAŞIYAMIYOR")</f>
        <v>UYGUNDUR</v>
      </c>
    </row>
    <row r="26" spans="1:16" ht="14.4">
      <c r="A26" s="40">
        <v>24</v>
      </c>
      <c r="B26" s="41">
        <v>24</v>
      </c>
      <c r="C26" s="41">
        <v>40</v>
      </c>
      <c r="D26" s="41">
        <v>3</v>
      </c>
      <c r="E26" s="41">
        <v>45</v>
      </c>
      <c r="F26" s="41">
        <v>5400</v>
      </c>
      <c r="G26" s="41">
        <v>2700</v>
      </c>
      <c r="H26" s="41">
        <v>4.1022255970000003</v>
      </c>
      <c r="I26" s="23"/>
      <c r="J26" s="23">
        <v>0</v>
      </c>
      <c r="K26" s="23"/>
      <c r="L26" s="23">
        <v>0</v>
      </c>
      <c r="M26" s="45">
        <f>IF(L26&gt;Veriler!$D$1,IF(L26&gt;Veriler!$D$2,IF(L26&gt;Veriler!$D$3,IF(L26&gt;Veriler!$D$4,IF(L26&gt;Veriler!$D$5,IF(L26&gt;Veriler!$D$6,IF(L26&gt;Veriler!$D$7,IF(L26&gt;Veriler!$D$8,"ders sorumlusuna başvur",Veriler!$A$8),Veriler!$A$7),Veriler!$A$6),Veriler!$A$5),Veriler!$A$4),Veriler!$A$3),Veriler!$A$2),Veriler!$A$1)</f>
        <v>1</v>
      </c>
      <c r="N26" s="45">
        <v>1</v>
      </c>
      <c r="O26" s="45" t="str">
        <f>VLOOKUP(N26,Veriler!A$1:C$8,2,FALSE)</f>
        <v>5 x Rose</v>
      </c>
      <c r="P26" s="46" t="str">
        <f>IF(I26&lt;VLOOKUP(N26,Veriler!A$1:E$8,5,FALSE),"UYGUNDUR","KESİT AKIMI TAŞIYAMIYOR")</f>
        <v>UYGUNDUR</v>
      </c>
    </row>
    <row r="27" spans="1:16" ht="14.4">
      <c r="A27" s="40">
        <v>25</v>
      </c>
      <c r="B27" s="41">
        <v>25</v>
      </c>
      <c r="C27" s="41">
        <v>13</v>
      </c>
      <c r="D27" s="41">
        <v>3</v>
      </c>
      <c r="E27" s="41">
        <v>45</v>
      </c>
      <c r="F27" s="41">
        <v>1755</v>
      </c>
      <c r="G27" s="41">
        <v>3375</v>
      </c>
      <c r="H27" s="41">
        <v>5.1277819960000004</v>
      </c>
      <c r="I27" s="23">
        <v>25.74146562</v>
      </c>
      <c r="J27" s="23">
        <v>334.63905310000001</v>
      </c>
      <c r="K27" s="23">
        <v>1353.734447</v>
      </c>
      <c r="L27" s="23">
        <v>4.8347658820000001</v>
      </c>
      <c r="M27" s="45">
        <f>IF(L27&gt;Veriler!$D$1,IF(L27&gt;Veriler!$D$2,IF(L27&gt;Veriler!$D$3,IF(L27&gt;Veriler!$D$4,IF(L27&gt;Veriler!$D$5,IF(L27&gt;Veriler!$D$6,IF(L27&gt;Veriler!$D$7,IF(L27&gt;Veriler!$D$8,"ders sorumlusuna başvur",Veriler!$A$8),Veriler!$A$7),Veriler!$A$6),Veriler!$A$5),Veriler!$A$4),Veriler!$A$3),Veriler!$A$2),Veriler!$A$1)</f>
        <v>1</v>
      </c>
      <c r="N27" s="45">
        <v>1</v>
      </c>
      <c r="O27" s="45" t="str">
        <f>VLOOKUP(N27,Veriler!A$1:C$8,2,FALSE)</f>
        <v>5 x Rose</v>
      </c>
      <c r="P27" s="46" t="str">
        <f>IF(I27&lt;VLOOKUP(N27,Veriler!A$1:E$8,5,FALSE),"UYGUNDUR","KESİT AKIMI TAŞIYAMIYOR")</f>
        <v>UYGUNDUR</v>
      </c>
    </row>
    <row r="28" spans="1:16" ht="14.4">
      <c r="A28" s="40">
        <v>26</v>
      </c>
      <c r="B28" s="41">
        <v>26</v>
      </c>
      <c r="C28" s="41">
        <v>37</v>
      </c>
      <c r="D28" s="41">
        <v>3</v>
      </c>
      <c r="E28" s="41">
        <v>45</v>
      </c>
      <c r="F28" s="41">
        <v>4995</v>
      </c>
      <c r="G28" s="41">
        <v>6345</v>
      </c>
      <c r="H28" s="41">
        <v>9.6402301529999992</v>
      </c>
      <c r="I28" s="23">
        <v>20.61368362</v>
      </c>
      <c r="J28" s="23">
        <v>762.70629410000004</v>
      </c>
      <c r="K28" s="23">
        <v>1019.0953940000001</v>
      </c>
      <c r="L28" s="23">
        <v>3.6396264070000002</v>
      </c>
      <c r="M28" s="45">
        <f>IF(L28&gt;Veriler!$D$1,IF(L28&gt;Veriler!$D$2,IF(L28&gt;Veriler!$D$3,IF(L28&gt;Veriler!$D$4,IF(L28&gt;Veriler!$D$5,IF(L28&gt;Veriler!$D$6,IF(L28&gt;Veriler!$D$7,IF(L28&gt;Veriler!$D$8,"ders sorumlusuna başvur",Veriler!$A$8),Veriler!$A$7),Veriler!$A$6),Veriler!$A$5),Veriler!$A$4),Veriler!$A$3),Veriler!$A$2),Veriler!$A$1)</f>
        <v>1</v>
      </c>
      <c r="N28" s="45">
        <v>1</v>
      </c>
      <c r="O28" s="45" t="str">
        <f>VLOOKUP(N28,Veriler!A$1:C$8,2,FALSE)</f>
        <v>5 x Rose</v>
      </c>
      <c r="P28" s="46" t="str">
        <f>IF(I28&lt;VLOOKUP(N28,Veriler!A$1:E$8,5,FALSE),"UYGUNDUR","KESİT AKIMI TAŞIYAMIYOR")</f>
        <v>UYGUNDUR</v>
      </c>
    </row>
    <row r="29" spans="1:16" ht="14.4">
      <c r="A29" s="40">
        <v>27</v>
      </c>
      <c r="B29" s="41">
        <v>27</v>
      </c>
      <c r="C29" s="41">
        <v>32</v>
      </c>
      <c r="D29" s="41">
        <v>3</v>
      </c>
      <c r="E29" s="41">
        <v>45</v>
      </c>
      <c r="F29" s="41">
        <v>4320</v>
      </c>
      <c r="G29" s="41">
        <v>2160</v>
      </c>
      <c r="H29" s="41">
        <v>3.2817804769999999</v>
      </c>
      <c r="I29" s="23"/>
      <c r="J29" s="23">
        <v>0</v>
      </c>
      <c r="K29" s="23"/>
      <c r="L29" s="23">
        <v>0</v>
      </c>
      <c r="M29" s="45">
        <f>IF(L29&gt;Veriler!$D$1,IF(L29&gt;Veriler!$D$2,IF(L29&gt;Veriler!$D$3,IF(L29&gt;Veriler!$D$4,IF(L29&gt;Veriler!$D$5,IF(L29&gt;Veriler!$D$6,IF(L29&gt;Veriler!$D$7,IF(L29&gt;Veriler!$D$8,"ders sorumlusuna başvur",Veriler!$A$8),Veriler!$A$7),Veriler!$A$6),Veriler!$A$5),Veriler!$A$4),Veriler!$A$3),Veriler!$A$2),Veriler!$A$1)</f>
        <v>1</v>
      </c>
      <c r="N29" s="45">
        <v>1</v>
      </c>
      <c r="O29" s="45" t="str">
        <f>VLOOKUP(N29,Veriler!A$1:C$8,2,FALSE)</f>
        <v>5 x Rose</v>
      </c>
      <c r="P29" s="46" t="str">
        <f>IF(I29&lt;VLOOKUP(N29,Veriler!A$1:E$8,5,FALSE),"UYGUNDUR","KESİT AKIMI TAŞIYAMIYOR")</f>
        <v>UYGUNDUR</v>
      </c>
    </row>
    <row r="30" spans="1:16" ht="14.4">
      <c r="A30" s="40">
        <v>28</v>
      </c>
      <c r="B30" s="41">
        <v>28</v>
      </c>
      <c r="C30" s="41">
        <v>25</v>
      </c>
      <c r="D30" s="41">
        <v>3</v>
      </c>
      <c r="E30" s="41">
        <v>45</v>
      </c>
      <c r="F30" s="41">
        <v>3375</v>
      </c>
      <c r="G30" s="41">
        <v>3375</v>
      </c>
      <c r="H30" s="41">
        <v>5.1277819960000004</v>
      </c>
      <c r="I30" s="23">
        <v>7.6916729940000002</v>
      </c>
      <c r="J30" s="23">
        <v>192.29182489999999</v>
      </c>
      <c r="K30" s="23">
        <v>256.3890998</v>
      </c>
      <c r="L30" s="23">
        <v>0.91567535639999997</v>
      </c>
      <c r="M30" s="45">
        <f>IF(L30&gt;Veriler!$D$1,IF(L30&gt;Veriler!$D$2,IF(L30&gt;Veriler!$D$3,IF(L30&gt;Veriler!$D$4,IF(L30&gt;Veriler!$D$5,IF(L30&gt;Veriler!$D$6,IF(L30&gt;Veriler!$D$7,IF(L30&gt;Veriler!$D$8,"ders sorumlusuna başvur",Veriler!$A$8),Veriler!$A$7),Veriler!$A$6),Veriler!$A$5),Veriler!$A$4),Veriler!$A$3),Veriler!$A$2),Veriler!$A$1)</f>
        <v>1</v>
      </c>
      <c r="N30" s="45">
        <v>1</v>
      </c>
      <c r="O30" s="45" t="str">
        <f>VLOOKUP(N30,Veriler!A$1:C$8,2,FALSE)</f>
        <v>5 x Rose</v>
      </c>
      <c r="P30" s="46" t="str">
        <f>IF(I30&lt;VLOOKUP(N30,Veriler!A$1:E$8,5,FALSE),"UYGUNDUR","KESİT AKIMI TAŞIYAMIYOR")</f>
        <v>UYGUNDUR</v>
      </c>
    </row>
    <row r="31" spans="1:16" ht="14.4">
      <c r="A31" s="42">
        <v>29</v>
      </c>
      <c r="B31" s="43">
        <v>29</v>
      </c>
      <c r="C31" s="43">
        <v>25</v>
      </c>
      <c r="D31" s="43">
        <v>3</v>
      </c>
      <c r="E31" s="43">
        <v>45</v>
      </c>
      <c r="F31" s="43">
        <v>3375</v>
      </c>
      <c r="G31" s="43">
        <v>1687.5</v>
      </c>
      <c r="H31" s="43">
        <v>2.5638909980000002</v>
      </c>
      <c r="I31" s="43">
        <v>2.5638909980000002</v>
      </c>
      <c r="J31" s="29">
        <v>64.097274949999999</v>
      </c>
      <c r="K31" s="29">
        <v>64.097274949999999</v>
      </c>
      <c r="L31" s="29">
        <v>0.22891883909999999</v>
      </c>
      <c r="M31" s="47">
        <f>IF(L31&gt;Veriler!$D$1,IF(L31&gt;Veriler!$D$2,IF(L31&gt;Veriler!$D$3,IF(L31&gt;Veriler!$D$4,IF(L31&gt;Veriler!$D$5,IF(L31&gt;Veriler!$D$6,IF(L31&gt;Veriler!$D$7,IF(L31&gt;Veriler!$D$8,"ders sorumlusuna başvur",Veriler!$A$8),Veriler!$A$7),Veriler!$A$6),Veriler!$A$5),Veriler!$A$4),Veriler!$A$3),Veriler!$A$2),Veriler!$A$1)</f>
        <v>1</v>
      </c>
      <c r="N31" s="47">
        <v>1</v>
      </c>
      <c r="O31" s="47" t="str">
        <f>VLOOKUP(N31,Veriler!A$1:C$8,2,FALSE)</f>
        <v>5 x Rose</v>
      </c>
      <c r="P31" s="48" t="str">
        <f>IF(I31&lt;VLOOKUP(N31,Veriler!A$1:E$8,5,FALSE),"UYGUNDUR","KESİT AKIMI TAŞIYAMIYOR")</f>
        <v>UYGUNDUR</v>
      </c>
    </row>
    <row r="32" spans="1:16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</row>
    <row r="33" spans="1:16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</row>
    <row r="34" spans="1:16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</row>
    <row r="35" spans="1:16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</row>
    <row r="36" spans="1:1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</row>
    <row r="37" spans="1:16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</row>
    <row r="38" spans="1:16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</row>
    <row r="39" spans="1:16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</row>
    <row r="40" spans="1:16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</row>
    <row r="41" spans="1:16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</row>
    <row r="42" spans="1:16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</row>
    <row r="43" spans="1:16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</row>
    <row r="44" spans="1:16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</row>
    <row r="45" spans="1:16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</row>
    <row r="46" spans="1:1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</row>
    <row r="47" spans="1:16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</row>
    <row r="48" spans="1:16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</row>
    <row r="49" spans="1:16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</row>
    <row r="50" spans="1:16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</row>
    <row r="51" spans="1:16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</row>
    <row r="52" spans="1:16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</row>
    <row r="53" spans="1:16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</row>
    <row r="54" spans="1:16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</row>
    <row r="55" spans="1:16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</row>
    <row r="56" spans="1:1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</row>
    <row r="57" spans="1:16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</row>
    <row r="58" spans="1:16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</row>
    <row r="59" spans="1:16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</row>
    <row r="60" spans="1:16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</row>
    <row r="61" spans="1:16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</row>
    <row r="62" spans="1:16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</row>
    <row r="63" spans="1:16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</row>
    <row r="64" spans="1:16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</row>
    <row r="65" spans="1:16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</row>
    <row r="66" spans="1:1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</row>
    <row r="67" spans="1:16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</row>
    <row r="68" spans="1:16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</row>
    <row r="69" spans="1:16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</row>
    <row r="70" spans="1:16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</row>
    <row r="71" spans="1:16">
      <c r="A71" s="44"/>
      <c r="B71" s="44"/>
      <c r="C71" s="44"/>
      <c r="D71" s="44"/>
    </row>
  </sheetData>
  <pageMargins left="0.7" right="0.7" top="0.75" bottom="0.75" header="0.3" footer="0.3"/>
  <pageSetup orientation="portrait"/>
  <drawing r:id="rId1"/>
  <legacyDrawing r:id="rId2"/>
  <oleObjects>
    <mc:AlternateContent xmlns:mc="http://schemas.openxmlformats.org/markup-compatibility/2006">
      <mc:Choice Requires="x14">
        <oleObject progId="AutoCAD.Drawing.24" shapeId="5121" r:id="rId3">
          <objectPr defaultSize="0" r:id="rId4">
            <anchor moveWithCells="1">
              <from>
                <xdr:col>3</xdr:col>
                <xdr:colOff>220980</xdr:colOff>
                <xdr:row>31</xdr:row>
                <xdr:rowOff>15240</xdr:rowOff>
              </from>
              <to>
                <xdr:col>21</xdr:col>
                <xdr:colOff>243840</xdr:colOff>
                <xdr:row>67</xdr:row>
                <xdr:rowOff>160020</xdr:rowOff>
              </to>
            </anchor>
          </objectPr>
        </oleObject>
      </mc:Choice>
      <mc:Fallback>
        <oleObject progId="AutoCAD.Drawing.24" shapeId="5121" r:id="rId3"/>
      </mc:Fallback>
    </mc:AlternateContent>
  </oleObjec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L23" sqref="L23"/>
    </sheetView>
  </sheetViews>
  <sheetFormatPr defaultRowHeight="13.8"/>
  <sheetData>
    <row r="1" spans="1:15" ht="26.4">
      <c r="A1" s="87" t="s">
        <v>65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spans="1:15" ht="86.4">
      <c r="A2" s="89" t="s">
        <v>66</v>
      </c>
      <c r="B2" s="90"/>
      <c r="C2" s="91"/>
      <c r="D2" s="91"/>
      <c r="E2" s="91"/>
      <c r="F2" s="91"/>
      <c r="G2" s="91">
        <v>69.5</v>
      </c>
      <c r="H2" s="91"/>
      <c r="I2" s="91">
        <v>182.5</v>
      </c>
      <c r="J2" s="91"/>
      <c r="K2" s="92">
        <v>148</v>
      </c>
      <c r="L2" s="93"/>
      <c r="M2" s="91">
        <v>85</v>
      </c>
      <c r="N2" s="91"/>
      <c r="O2" s="62">
        <v>25</v>
      </c>
    </row>
    <row r="3" spans="1:15" ht="14.4">
      <c r="A3" s="94" t="s">
        <v>67</v>
      </c>
      <c r="B3" s="91"/>
      <c r="C3" s="91"/>
      <c r="D3" s="91"/>
      <c r="E3" s="91"/>
      <c r="F3" s="92">
        <f t="shared" ref="F3" si="0">H3+G2</f>
        <v>510</v>
      </c>
      <c r="G3" s="95"/>
      <c r="H3" s="92">
        <f t="shared" ref="H3" si="1">J3+I2</f>
        <v>440.5</v>
      </c>
      <c r="I3" s="95"/>
      <c r="J3" s="92">
        <f t="shared" ref="J3" si="2">L3+K2</f>
        <v>258</v>
      </c>
      <c r="K3" s="95"/>
      <c r="L3" s="92">
        <f>N3+M2</f>
        <v>110</v>
      </c>
      <c r="M3" s="95"/>
      <c r="N3" s="91">
        <v>25</v>
      </c>
      <c r="O3" s="91"/>
    </row>
    <row r="4" spans="1:15" ht="14.4">
      <c r="A4" s="94" t="s">
        <v>68</v>
      </c>
      <c r="B4" s="91"/>
      <c r="C4" s="91"/>
      <c r="D4" s="91"/>
      <c r="E4" s="91"/>
      <c r="F4" s="91">
        <v>45</v>
      </c>
      <c r="G4" s="91"/>
      <c r="H4" s="91">
        <v>45</v>
      </c>
      <c r="I4" s="91"/>
      <c r="J4" s="91">
        <v>45</v>
      </c>
      <c r="K4" s="91"/>
      <c r="L4" s="91">
        <v>45</v>
      </c>
      <c r="M4" s="91"/>
      <c r="N4" s="91">
        <v>45</v>
      </c>
      <c r="O4" s="91"/>
    </row>
    <row r="5" spans="1:15" ht="14.4">
      <c r="A5" s="94" t="s">
        <v>69</v>
      </c>
      <c r="B5" s="91"/>
      <c r="C5" s="91"/>
      <c r="D5" s="91"/>
      <c r="E5" s="91"/>
      <c r="F5" s="91">
        <v>3.54</v>
      </c>
      <c r="G5" s="91"/>
      <c r="H5" s="91">
        <v>2.33</v>
      </c>
      <c r="I5" s="91"/>
      <c r="J5" s="91">
        <v>2.33</v>
      </c>
      <c r="K5" s="91"/>
      <c r="L5" s="91">
        <v>9.36</v>
      </c>
      <c r="M5" s="91"/>
      <c r="N5" s="91">
        <v>9.36</v>
      </c>
      <c r="O5" s="91"/>
    </row>
    <row r="6" spans="1:15" ht="14.4">
      <c r="A6" s="94" t="s">
        <v>70</v>
      </c>
      <c r="B6" s="91"/>
      <c r="C6" s="91"/>
      <c r="D6" s="91"/>
      <c r="E6" s="91"/>
      <c r="F6" s="91">
        <f>F5*F4*F3*10^-7*10</f>
        <v>8.1242999999999996E-2</v>
      </c>
      <c r="G6" s="91"/>
      <c r="H6" s="91">
        <f>H5*H4*H3*10^-7*139</f>
        <v>0.6419913075</v>
      </c>
      <c r="I6" s="91"/>
      <c r="J6" s="91">
        <f>J5*J4*J3*10^-7*86</f>
        <v>0.23264118</v>
      </c>
      <c r="K6" s="91"/>
      <c r="L6" s="91">
        <f>L5*L4*L3*10^-7*50</f>
        <v>0.23165999999999998</v>
      </c>
      <c r="M6" s="91"/>
      <c r="N6" s="91">
        <f>N5*N4*N3*10^-7*50</f>
        <v>5.2649999999999995E-2</v>
      </c>
      <c r="O6" s="91"/>
    </row>
    <row r="7" spans="1:15" s="74" customFormat="1" ht="14.4">
      <c r="A7" s="94"/>
      <c r="B7" s="88" t="s">
        <v>73</v>
      </c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</row>
  </sheetData>
  <mergeCells count="36">
    <mergeCell ref="B7:O7"/>
    <mergeCell ref="N5:O5"/>
    <mergeCell ref="B6:C6"/>
    <mergeCell ref="D6:E6"/>
    <mergeCell ref="F6:G6"/>
    <mergeCell ref="H6:I6"/>
    <mergeCell ref="J6:K6"/>
    <mergeCell ref="L6:M6"/>
    <mergeCell ref="N6:O6"/>
    <mergeCell ref="B5:C5"/>
    <mergeCell ref="D5:E5"/>
    <mergeCell ref="F5:G5"/>
    <mergeCell ref="H5:I5"/>
    <mergeCell ref="J5:K5"/>
    <mergeCell ref="L5:M5"/>
    <mergeCell ref="N3:O3"/>
    <mergeCell ref="B4:C4"/>
    <mergeCell ref="D4:E4"/>
    <mergeCell ref="F4:G4"/>
    <mergeCell ref="H4:I4"/>
    <mergeCell ref="J4:K4"/>
    <mergeCell ref="L4:M4"/>
    <mergeCell ref="N4:O4"/>
    <mergeCell ref="B3:C3"/>
    <mergeCell ref="D3:E3"/>
    <mergeCell ref="F3:G3"/>
    <mergeCell ref="H3:I3"/>
    <mergeCell ref="J3:K3"/>
    <mergeCell ref="L3:M3"/>
    <mergeCell ref="B1:O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selection sqref="A1:O6"/>
    </sheetView>
  </sheetViews>
  <sheetFormatPr defaultRowHeight="13.8"/>
  <sheetData>
    <row r="1" spans="1:15" ht="26.4">
      <c r="A1" s="130" t="s">
        <v>65</v>
      </c>
      <c r="B1" s="110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8"/>
    </row>
    <row r="2" spans="1:15" ht="82.8">
      <c r="A2" s="131" t="s">
        <v>66</v>
      </c>
      <c r="B2" s="129">
        <v>125</v>
      </c>
      <c r="C2" s="129">
        <v>125</v>
      </c>
      <c r="D2" s="129">
        <v>1375</v>
      </c>
      <c r="E2" s="129">
        <v>125</v>
      </c>
      <c r="F2" s="129">
        <v>125</v>
      </c>
      <c r="G2" s="129">
        <v>125</v>
      </c>
      <c r="H2" s="129">
        <v>375</v>
      </c>
      <c r="I2" s="129">
        <v>125</v>
      </c>
      <c r="J2" s="129">
        <v>125</v>
      </c>
      <c r="K2" s="129">
        <v>375</v>
      </c>
      <c r="L2" s="129">
        <v>250</v>
      </c>
      <c r="M2" s="129">
        <v>250</v>
      </c>
      <c r="N2" s="129">
        <v>125</v>
      </c>
      <c r="O2" s="129">
        <v>125</v>
      </c>
    </row>
    <row r="3" spans="1:15">
      <c r="A3" s="132" t="s">
        <v>67</v>
      </c>
      <c r="B3" s="129">
        <v>3625</v>
      </c>
      <c r="C3" s="129">
        <v>3500</v>
      </c>
      <c r="D3" s="129">
        <v>3375</v>
      </c>
      <c r="E3" s="129">
        <v>2000</v>
      </c>
      <c r="F3" s="129">
        <v>1875</v>
      </c>
      <c r="G3" s="129">
        <v>1750</v>
      </c>
      <c r="H3" s="129">
        <v>1625</v>
      </c>
      <c r="I3" s="129">
        <v>1250</v>
      </c>
      <c r="J3" s="129">
        <v>1125</v>
      </c>
      <c r="K3" s="129">
        <v>1000</v>
      </c>
      <c r="L3" s="129">
        <v>625</v>
      </c>
      <c r="M3" s="129">
        <v>500</v>
      </c>
      <c r="N3" s="129">
        <v>250</v>
      </c>
      <c r="O3" s="133">
        <v>125</v>
      </c>
    </row>
    <row r="4" spans="1:15">
      <c r="A4" s="132" t="s">
        <v>79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33"/>
    </row>
    <row r="5" spans="1:15">
      <c r="A5" s="132" t="s">
        <v>70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33"/>
    </row>
    <row r="6" spans="1:15">
      <c r="A6" s="132"/>
      <c r="B6" s="110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8"/>
    </row>
  </sheetData>
  <mergeCells count="2">
    <mergeCell ref="B1:O1"/>
    <mergeCell ref="B6:O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activeCell="H4" sqref="H4"/>
    </sheetView>
  </sheetViews>
  <sheetFormatPr defaultRowHeight="13.8"/>
  <cols>
    <col min="1" max="1" width="18.3984375" customWidth="1"/>
    <col min="2" max="2" width="15.69921875" customWidth="1"/>
    <col min="4" max="4" width="14.19921875" customWidth="1"/>
    <col min="5" max="5" width="19.19921875" customWidth="1"/>
    <col min="6" max="6" width="12.296875" customWidth="1"/>
    <col min="7" max="7" width="12.3984375" customWidth="1"/>
  </cols>
  <sheetData>
    <row r="1" spans="1:7" ht="55.2">
      <c r="A1" s="107" t="s">
        <v>9</v>
      </c>
      <c r="B1" s="107" t="s">
        <v>10</v>
      </c>
      <c r="C1" s="107" t="s">
        <v>11</v>
      </c>
      <c r="D1" s="107" t="s">
        <v>29</v>
      </c>
      <c r="E1" s="107" t="s">
        <v>30</v>
      </c>
      <c r="F1" s="107" t="s">
        <v>14</v>
      </c>
      <c r="G1" s="107" t="s">
        <v>31</v>
      </c>
    </row>
    <row r="2" spans="1:7">
      <c r="A2" s="107"/>
      <c r="B2" s="107"/>
      <c r="C2" s="107"/>
      <c r="D2" s="107"/>
      <c r="E2" s="107"/>
      <c r="F2" s="107"/>
      <c r="G2" s="107"/>
    </row>
    <row r="3" spans="1:7" ht="55.2">
      <c r="A3" s="107">
        <v>5094.1437459999997</v>
      </c>
      <c r="B3" s="107">
        <v>22750.8406</v>
      </c>
      <c r="C3" s="107">
        <v>81.253002159999994</v>
      </c>
      <c r="D3" s="107">
        <v>7</v>
      </c>
      <c r="E3" s="107">
        <v>7</v>
      </c>
      <c r="F3" s="107" t="s">
        <v>45</v>
      </c>
      <c r="G3" s="107" t="s">
        <v>19</v>
      </c>
    </row>
    <row r="4" spans="1:7" ht="55.2">
      <c r="A4" s="107">
        <v>4933.3365030000004</v>
      </c>
      <c r="B4" s="107">
        <v>22750.8406</v>
      </c>
      <c r="C4" s="107">
        <v>81.253002159999994</v>
      </c>
      <c r="D4" s="107">
        <v>7</v>
      </c>
      <c r="E4" s="107">
        <v>7</v>
      </c>
      <c r="F4" s="107" t="s">
        <v>45</v>
      </c>
      <c r="G4" s="107" t="s">
        <v>19</v>
      </c>
    </row>
    <row r="5" spans="1:7" ht="27.6">
      <c r="A5" s="107">
        <v>0</v>
      </c>
      <c r="B5" s="107"/>
      <c r="C5" s="107">
        <v>0</v>
      </c>
      <c r="D5" s="107">
        <v>1</v>
      </c>
      <c r="E5" s="107">
        <v>1</v>
      </c>
      <c r="F5" s="107" t="s">
        <v>28</v>
      </c>
      <c r="G5" s="107" t="s">
        <v>19</v>
      </c>
    </row>
    <row r="6" spans="1:7" ht="27.6">
      <c r="A6" s="107">
        <v>0</v>
      </c>
      <c r="B6" s="107"/>
      <c r="C6" s="107">
        <v>0</v>
      </c>
      <c r="D6" s="107">
        <v>1</v>
      </c>
      <c r="E6" s="107">
        <v>1</v>
      </c>
      <c r="F6" s="107" t="s">
        <v>28</v>
      </c>
      <c r="G6" s="107" t="s">
        <v>19</v>
      </c>
    </row>
    <row r="7" spans="1:7" ht="27.6">
      <c r="A7" s="107">
        <v>0</v>
      </c>
      <c r="B7" s="107"/>
      <c r="C7" s="107">
        <v>0</v>
      </c>
      <c r="D7" s="107">
        <v>1</v>
      </c>
      <c r="E7" s="107">
        <v>1</v>
      </c>
      <c r="F7" s="107" t="s">
        <v>28</v>
      </c>
      <c r="G7" s="107" t="s">
        <v>19</v>
      </c>
    </row>
    <row r="8" spans="1:7" ht="27.6">
      <c r="A8" s="107">
        <v>0</v>
      </c>
      <c r="B8" s="107"/>
      <c r="C8" s="107">
        <v>0</v>
      </c>
      <c r="D8" s="107">
        <v>1</v>
      </c>
      <c r="E8" s="107">
        <v>1</v>
      </c>
      <c r="F8" s="107" t="s">
        <v>28</v>
      </c>
      <c r="G8" s="107" t="s">
        <v>19</v>
      </c>
    </row>
    <row r="9" spans="1:7" ht="27.6">
      <c r="A9" s="107">
        <v>0</v>
      </c>
      <c r="B9" s="107"/>
      <c r="C9" s="107">
        <v>0</v>
      </c>
      <c r="D9" s="107">
        <v>1</v>
      </c>
      <c r="E9" s="107">
        <v>1</v>
      </c>
      <c r="F9" s="107" t="s">
        <v>28</v>
      </c>
      <c r="G9" s="107" t="s">
        <v>19</v>
      </c>
    </row>
    <row r="10" spans="1:7" ht="27.6">
      <c r="A10" s="107">
        <v>0</v>
      </c>
      <c r="B10" s="107"/>
      <c r="C10" s="107">
        <v>0</v>
      </c>
      <c r="D10" s="107">
        <v>1</v>
      </c>
      <c r="E10" s="107">
        <v>1</v>
      </c>
      <c r="F10" s="107" t="s">
        <v>28</v>
      </c>
      <c r="G10" s="107" t="s">
        <v>19</v>
      </c>
    </row>
    <row r="11" spans="1:7" ht="27.6">
      <c r="A11" s="107">
        <v>0</v>
      </c>
      <c r="B11" s="107"/>
      <c r="C11" s="107">
        <v>0</v>
      </c>
      <c r="D11" s="107">
        <v>1</v>
      </c>
      <c r="E11" s="107">
        <v>1</v>
      </c>
      <c r="F11" s="107" t="s">
        <v>28</v>
      </c>
      <c r="G11" s="107" t="s">
        <v>19</v>
      </c>
    </row>
    <row r="12" spans="1:7" ht="27.6">
      <c r="A12" s="107">
        <v>0</v>
      </c>
      <c r="B12" s="107"/>
      <c r="C12" s="107">
        <v>0</v>
      </c>
      <c r="D12" s="107">
        <v>1</v>
      </c>
      <c r="E12" s="107">
        <v>1</v>
      </c>
      <c r="F12" s="107" t="s">
        <v>28</v>
      </c>
      <c r="G12" s="107" t="s">
        <v>19</v>
      </c>
    </row>
    <row r="13" spans="1:7" ht="27.6">
      <c r="A13" s="107">
        <v>0</v>
      </c>
      <c r="B13" s="107"/>
      <c r="C13" s="107">
        <v>0</v>
      </c>
      <c r="D13" s="107">
        <v>1</v>
      </c>
      <c r="E13" s="107">
        <v>1</v>
      </c>
      <c r="F13" s="107" t="s">
        <v>28</v>
      </c>
      <c r="G13" s="107" t="s">
        <v>19</v>
      </c>
    </row>
    <row r="14" spans="1:7" ht="27.6">
      <c r="A14" s="107">
        <v>0</v>
      </c>
      <c r="B14" s="107"/>
      <c r="C14" s="107">
        <v>0</v>
      </c>
      <c r="D14" s="107">
        <v>1</v>
      </c>
      <c r="E14" s="107">
        <v>1</v>
      </c>
      <c r="F14" s="107" t="s">
        <v>28</v>
      </c>
      <c r="G14" s="107" t="s">
        <v>19</v>
      </c>
    </row>
    <row r="15" spans="1:7" ht="27.6">
      <c r="A15" s="107">
        <v>0</v>
      </c>
      <c r="B15" s="107"/>
      <c r="C15" s="107">
        <v>0</v>
      </c>
      <c r="D15" s="107">
        <v>1</v>
      </c>
      <c r="E15" s="107">
        <v>1</v>
      </c>
      <c r="F15" s="107" t="s">
        <v>28</v>
      </c>
      <c r="G15" s="107" t="s">
        <v>19</v>
      </c>
    </row>
    <row r="16" spans="1:7" ht="41.4">
      <c r="A16" s="107">
        <v>3905.3187680000001</v>
      </c>
      <c r="B16" s="107">
        <v>17817.504099999998</v>
      </c>
      <c r="C16" s="107">
        <v>63.633943219999999</v>
      </c>
      <c r="D16" s="107">
        <v>6</v>
      </c>
      <c r="E16" s="107">
        <v>6</v>
      </c>
      <c r="F16" s="107" t="s">
        <v>43</v>
      </c>
      <c r="G16" s="107" t="s">
        <v>19</v>
      </c>
    </row>
    <row r="17" spans="1:7" ht="41.4">
      <c r="A17" s="107">
        <v>2974.831447</v>
      </c>
      <c r="B17" s="107">
        <v>13912.18533</v>
      </c>
      <c r="C17" s="107">
        <v>49.686376189999997</v>
      </c>
      <c r="D17" s="107">
        <v>5</v>
      </c>
      <c r="E17" s="107">
        <v>6</v>
      </c>
      <c r="F17" s="107" t="s">
        <v>43</v>
      </c>
      <c r="G17" s="107" t="s">
        <v>19</v>
      </c>
    </row>
    <row r="18" spans="1:7" ht="41.4">
      <c r="A18" s="107">
        <v>2751.465263</v>
      </c>
      <c r="B18" s="107">
        <v>10937.35389</v>
      </c>
      <c r="C18" s="107">
        <v>39.061978160000002</v>
      </c>
      <c r="D18" s="107">
        <v>4</v>
      </c>
      <c r="E18" s="107">
        <v>6</v>
      </c>
      <c r="F18" s="107" t="s">
        <v>43</v>
      </c>
      <c r="G18" s="107" t="s">
        <v>19</v>
      </c>
    </row>
    <row r="19" spans="1:7" ht="27.6">
      <c r="A19" s="107">
        <v>2528.09908</v>
      </c>
      <c r="B19" s="107">
        <v>8185.8886229999998</v>
      </c>
      <c r="C19" s="107">
        <v>29.235316510000001</v>
      </c>
      <c r="D19" s="107">
        <v>3</v>
      </c>
      <c r="E19" s="107">
        <v>1</v>
      </c>
      <c r="F19" s="107" t="s">
        <v>28</v>
      </c>
      <c r="G19" s="107" t="s">
        <v>19</v>
      </c>
    </row>
    <row r="20" spans="1:7" ht="27.6">
      <c r="A20" s="107">
        <v>0</v>
      </c>
      <c r="B20" s="107"/>
      <c r="C20" s="107">
        <v>0</v>
      </c>
      <c r="D20" s="107">
        <v>1</v>
      </c>
      <c r="E20" s="107">
        <v>1</v>
      </c>
      <c r="F20" s="107" t="s">
        <v>28</v>
      </c>
      <c r="G20" s="107" t="s">
        <v>19</v>
      </c>
    </row>
    <row r="21" spans="1:7" ht="27.6">
      <c r="A21" s="107">
        <v>0</v>
      </c>
      <c r="B21" s="107"/>
      <c r="C21" s="107">
        <v>0</v>
      </c>
      <c r="D21" s="107">
        <v>1</v>
      </c>
      <c r="E21" s="107">
        <v>1</v>
      </c>
      <c r="F21" s="107" t="s">
        <v>28</v>
      </c>
      <c r="G21" s="107" t="s">
        <v>19</v>
      </c>
    </row>
    <row r="22" spans="1:7" ht="27.6">
      <c r="A22" s="107">
        <v>1830.9258400000001</v>
      </c>
      <c r="B22" s="107">
        <v>5657.7895429999999</v>
      </c>
      <c r="C22" s="107">
        <v>20.206391230000001</v>
      </c>
      <c r="D22" s="107">
        <v>1</v>
      </c>
      <c r="E22" s="107">
        <v>1</v>
      </c>
      <c r="F22" s="107" t="s">
        <v>28</v>
      </c>
      <c r="G22" s="107" t="s">
        <v>19</v>
      </c>
    </row>
    <row r="23" spans="1:7" ht="27.6">
      <c r="A23" s="107">
        <v>1607.5596559999999</v>
      </c>
      <c r="B23" s="107">
        <v>3826.8637039999999</v>
      </c>
      <c r="C23" s="107">
        <v>13.66737037</v>
      </c>
      <c r="D23" s="107">
        <v>1</v>
      </c>
      <c r="E23" s="107">
        <v>1</v>
      </c>
      <c r="F23" s="107" t="s">
        <v>28</v>
      </c>
      <c r="G23" s="107" t="s">
        <v>19</v>
      </c>
    </row>
    <row r="24" spans="1:7" ht="27.6">
      <c r="A24" s="107">
        <v>865.56960089999995</v>
      </c>
      <c r="B24" s="107">
        <v>2219.304048</v>
      </c>
      <c r="C24" s="107">
        <v>7.926085885</v>
      </c>
      <c r="D24" s="107">
        <v>1</v>
      </c>
      <c r="E24" s="107">
        <v>1</v>
      </c>
      <c r="F24" s="107" t="s">
        <v>28</v>
      </c>
      <c r="G24" s="107" t="s">
        <v>19</v>
      </c>
    </row>
    <row r="25" spans="1:7" ht="27.6">
      <c r="A25" s="107">
        <v>0</v>
      </c>
      <c r="B25" s="107"/>
      <c r="C25" s="107">
        <v>0</v>
      </c>
      <c r="D25" s="107">
        <v>1</v>
      </c>
      <c r="E25" s="107">
        <v>1</v>
      </c>
      <c r="F25" s="107" t="s">
        <v>28</v>
      </c>
      <c r="G25" s="107" t="s">
        <v>19</v>
      </c>
    </row>
    <row r="26" spans="1:7" ht="27.6">
      <c r="A26" s="107">
        <v>0</v>
      </c>
      <c r="B26" s="107"/>
      <c r="C26" s="107">
        <v>0</v>
      </c>
      <c r="D26" s="107">
        <v>1</v>
      </c>
      <c r="E26" s="107">
        <v>1</v>
      </c>
      <c r="F26" s="107" t="s">
        <v>28</v>
      </c>
      <c r="G26" s="107" t="s">
        <v>19</v>
      </c>
    </row>
    <row r="27" spans="1:7" ht="27.6">
      <c r="A27" s="107">
        <v>334.63905310000001</v>
      </c>
      <c r="B27" s="107">
        <v>1353.734447</v>
      </c>
      <c r="C27" s="107">
        <v>4.8347658820000001</v>
      </c>
      <c r="D27" s="107">
        <v>1</v>
      </c>
      <c r="E27" s="107">
        <v>1</v>
      </c>
      <c r="F27" s="107" t="s">
        <v>28</v>
      </c>
      <c r="G27" s="107" t="s">
        <v>19</v>
      </c>
    </row>
    <row r="28" spans="1:7" ht="27.6">
      <c r="A28" s="107">
        <v>762.70629410000004</v>
      </c>
      <c r="B28" s="107">
        <v>1019.0953940000001</v>
      </c>
      <c r="C28" s="107">
        <v>3.6396264070000002</v>
      </c>
      <c r="D28" s="107">
        <v>1</v>
      </c>
      <c r="E28" s="107">
        <v>1</v>
      </c>
      <c r="F28" s="107" t="s">
        <v>28</v>
      </c>
      <c r="G28" s="107" t="s">
        <v>19</v>
      </c>
    </row>
    <row r="29" spans="1:7" ht="27.6">
      <c r="A29" s="107">
        <v>0</v>
      </c>
      <c r="B29" s="107"/>
      <c r="C29" s="107">
        <v>0</v>
      </c>
      <c r="D29" s="107">
        <v>1</v>
      </c>
      <c r="E29" s="107">
        <v>1</v>
      </c>
      <c r="F29" s="107" t="s">
        <v>28</v>
      </c>
      <c r="G29" s="107" t="s">
        <v>19</v>
      </c>
    </row>
    <row r="30" spans="1:7" ht="27.6">
      <c r="A30" s="107">
        <v>192.29182489999999</v>
      </c>
      <c r="B30" s="107">
        <v>256.3890998</v>
      </c>
      <c r="C30" s="107">
        <v>0.91567535639999997</v>
      </c>
      <c r="D30" s="107">
        <v>1</v>
      </c>
      <c r="E30" s="107">
        <v>1</v>
      </c>
      <c r="F30" s="107" t="s">
        <v>28</v>
      </c>
      <c r="G30" s="107" t="s">
        <v>19</v>
      </c>
    </row>
    <row r="31" spans="1:7" ht="27.6">
      <c r="A31" s="107">
        <v>64.097274949999999</v>
      </c>
      <c r="B31" s="107">
        <v>64.097274949999999</v>
      </c>
      <c r="C31" s="107">
        <v>0.22891883909999999</v>
      </c>
      <c r="D31" s="107">
        <v>1</v>
      </c>
      <c r="E31" s="107">
        <v>1</v>
      </c>
      <c r="F31" s="107" t="s">
        <v>28</v>
      </c>
      <c r="G31" s="107" t="s">
        <v>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0"/>
  <sheetViews>
    <sheetView topLeftCell="B1" workbookViewId="0">
      <selection activeCell="K50" sqref="K50"/>
    </sheetView>
  </sheetViews>
  <sheetFormatPr defaultColWidth="9" defaultRowHeight="13.8"/>
  <cols>
    <col min="1" max="4" width="8.8984375" customWidth="1"/>
    <col min="5" max="5" width="13.69921875" customWidth="1"/>
    <col min="6" max="6" width="8.8984375" customWidth="1"/>
    <col min="7" max="7" width="12.59765625" customWidth="1"/>
    <col min="8" max="8" width="14.59765625" customWidth="1"/>
    <col min="9" max="9" width="15.19921875" customWidth="1"/>
    <col min="10" max="10" width="11.3984375" customWidth="1"/>
    <col min="11" max="11" width="12.69921875" customWidth="1"/>
    <col min="12" max="12" width="13.296875" customWidth="1"/>
    <col min="13" max="13" width="22.296875" style="16" customWidth="1"/>
    <col min="14" max="14" width="18.8984375" customWidth="1"/>
    <col min="15" max="15" width="21.296875" customWidth="1"/>
    <col min="16" max="16" width="15.69921875" customWidth="1"/>
  </cols>
  <sheetData>
    <row r="1" spans="1:16" ht="16.05" customHeight="1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32" t="s">
        <v>29</v>
      </c>
      <c r="N1" s="32" t="s">
        <v>30</v>
      </c>
      <c r="O1" s="32" t="s">
        <v>14</v>
      </c>
      <c r="P1" s="33" t="s">
        <v>31</v>
      </c>
    </row>
    <row r="2" spans="1:16">
      <c r="A2" s="19" t="s">
        <v>33</v>
      </c>
      <c r="B2" s="20"/>
      <c r="C2" s="20"/>
      <c r="D2" s="20"/>
      <c r="E2" s="20"/>
      <c r="F2" s="20"/>
      <c r="G2" s="21">
        <f>0.5*F3</f>
        <v>2092.5</v>
      </c>
      <c r="H2" s="21">
        <f>G2/(SQRT(3)*380)</f>
        <v>3.1792248375770802</v>
      </c>
      <c r="I2" s="20"/>
      <c r="J2" s="20"/>
      <c r="K2" s="20"/>
      <c r="L2" s="20"/>
      <c r="M2" s="34"/>
      <c r="N2" s="34"/>
      <c r="O2" s="34"/>
      <c r="P2" s="35"/>
    </row>
    <row r="3" spans="1:16" ht="13.95" customHeight="1">
      <c r="A3" s="22">
        <v>30</v>
      </c>
      <c r="B3" s="21">
        <v>30</v>
      </c>
      <c r="C3" s="21">
        <v>31</v>
      </c>
      <c r="D3" s="21">
        <v>3</v>
      </c>
      <c r="E3" s="23">
        <v>45</v>
      </c>
      <c r="F3" s="21">
        <f>C3*D3*E3</f>
        <v>4185</v>
      </c>
      <c r="G3" s="21">
        <f>0.5*(F3+F4)</f>
        <v>4792.5</v>
      </c>
      <c r="H3" s="21">
        <f t="shared" ref="H3:H47" si="0">G3/(SQRT(3)*380)</f>
        <v>7.2814504344507398</v>
      </c>
      <c r="I3" s="21">
        <f>H3+I4</f>
        <v>182.24137214123849</v>
      </c>
      <c r="J3" s="21">
        <f>I3*C3</f>
        <v>5649.482536378393</v>
      </c>
      <c r="K3" s="21">
        <f>J3+K4</f>
        <v>29898.114076916594</v>
      </c>
      <c r="L3" s="21">
        <f>K3/(8*35)</f>
        <v>106.7789788461307</v>
      </c>
      <c r="M3" s="34">
        <f>IF(L3&gt;Veriler!$D$1,IF(L3&gt;Veriler!$D$2,IF(L3&gt;Veriler!$D$3,IF(L3&gt;Veriler!$D$4,IF(L3&gt;Veriler!$D$5,IF(L3&gt;Veriler!$D$6,IF(L3&gt;Veriler!$D$7,IF(L3&gt;Veriler!$D$8,"ders sorumlusuna başvur",Veriler!$A$8),Veriler!$A$7),Veriler!$A$6),Veriler!$A$5),Veriler!$A$4),Veriler!$A$3),Veriler!$A$2),Veriler!$A$1)</f>
        <v>8</v>
      </c>
      <c r="N3" s="34">
        <v>8</v>
      </c>
      <c r="O3" s="34" t="str">
        <f>VLOOKUP(N3,Veriler!A$1:C$8,2,FALSE)</f>
        <v>3xOxlip+Rose/Aster</v>
      </c>
      <c r="P3" s="35" t="s">
        <v>19</v>
      </c>
    </row>
    <row r="4" spans="1:16" ht="13.95" customHeight="1">
      <c r="A4" s="22">
        <v>31</v>
      </c>
      <c r="B4" s="21">
        <v>31</v>
      </c>
      <c r="C4" s="21">
        <v>31</v>
      </c>
      <c r="D4" s="21">
        <v>3</v>
      </c>
      <c r="E4" s="23">
        <v>45</v>
      </c>
      <c r="F4" s="21">
        <f>C6*D5*E4</f>
        <v>5400</v>
      </c>
      <c r="G4" s="21">
        <f>0.5*(F4+F5)</f>
        <v>4860</v>
      </c>
      <c r="H4" s="21">
        <f t="shared" si="0"/>
        <v>7.3840060743725804</v>
      </c>
      <c r="I4" s="21">
        <f>H4+I5</f>
        <v>174.95992170678775</v>
      </c>
      <c r="J4" s="21">
        <f>I4*C4</f>
        <v>5423.7575729104201</v>
      </c>
      <c r="K4" s="21">
        <f>J4+K5</f>
        <v>24248.631540538201</v>
      </c>
      <c r="L4" s="21">
        <f>K4/(8*35)</f>
        <v>86.602255501922144</v>
      </c>
      <c r="M4" s="34">
        <f>IF(L4&gt;Veriler!$D$1,IF(L4&gt;Veriler!$D$2,IF(L4&gt;Veriler!$D$3,IF(L4&gt;Veriler!$D$4,IF(L4&gt;Veriler!$D$5,IF(L4&gt;Veriler!$D$6,IF(L4&gt;Veriler!$D$7,IF(L4&gt;Veriler!$D$8,"ders sorumlusuna başvur",Veriler!$A$8),Veriler!$A$7),Veriler!$A$6),Veriler!$A$5),Veriler!$A$4),Veriler!$A$3),Veriler!$A$2),Veriler!$A$1)</f>
        <v>8</v>
      </c>
      <c r="N4" s="34">
        <v>8</v>
      </c>
      <c r="O4" s="34" t="str">
        <f>VLOOKUP(N4,Veriler!A$1:C$8,2,FALSE)</f>
        <v>3xOxlip+Rose/Aster</v>
      </c>
      <c r="P4" s="35" t="str">
        <f>IF(I4&lt;VLOOKUP(N4,Veriler!A$1:E$8,5,FALSE),"UYGUNDUR","KESİT AKIMI TAŞIYAMIYOR")</f>
        <v>UYGUNDUR</v>
      </c>
    </row>
    <row r="5" spans="1:16" ht="12" customHeight="1">
      <c r="A5" s="22">
        <v>32</v>
      </c>
      <c r="B5" s="21">
        <v>32</v>
      </c>
      <c r="C5" s="21">
        <v>32</v>
      </c>
      <c r="D5" s="21">
        <v>3</v>
      </c>
      <c r="E5" s="23">
        <v>45</v>
      </c>
      <c r="F5" s="21">
        <f t="shared" ref="F5:F47" si="1">C5*D5*E5</f>
        <v>4320</v>
      </c>
      <c r="G5" s="21">
        <f>0.5*(F5+F6+F9+F15)</f>
        <v>8167.5</v>
      </c>
      <c r="H5" s="21">
        <f t="shared" si="0"/>
        <v>12.409232430542801</v>
      </c>
      <c r="I5" s="20">
        <f>H5+H6+H7+H8+H9+H10+H11+H12+H13+H14+I15</f>
        <v>167.57591563241516</v>
      </c>
      <c r="J5" s="21">
        <f>I5*C5</f>
        <v>5362.4293002372851</v>
      </c>
      <c r="K5" s="20">
        <f>J5+K15</f>
        <v>18824.87396762778</v>
      </c>
      <c r="L5" s="21">
        <f>K5/(8*35)</f>
        <v>67.23169274152778</v>
      </c>
      <c r="M5" s="34">
        <f>IF(L5&gt;Veriler!$D$1,IF(L5&gt;Veriler!$D$2,IF(L5&gt;Veriler!$D$3,IF(L5&gt;Veriler!$D$4,IF(L5&gt;Veriler!$D$5,IF(L5&gt;Veriler!$D$6,IF(L5&gt;Veriler!$D$7,IF(L5&gt;Veriler!$D$8,"ders sorumlusuna başvur",Veriler!$A$8),Veriler!$A$7),Veriler!$A$6),Veriler!$A$5),Veriler!$A$4),Veriler!$A$3),Veriler!$A$2),Veriler!$A$1)</f>
        <v>7</v>
      </c>
      <c r="N5" s="34">
        <v>7</v>
      </c>
      <c r="O5" s="34" t="str">
        <f>VLOOKUP(N5,Veriler!A$1:C$8,2,FALSE)</f>
        <v>3xPhlox + Rose/Poppy</v>
      </c>
      <c r="P5" s="35" t="s">
        <v>19</v>
      </c>
    </row>
    <row r="6" spans="1:16">
      <c r="A6" s="22">
        <v>33</v>
      </c>
      <c r="B6" s="21">
        <v>33</v>
      </c>
      <c r="C6" s="21">
        <v>40</v>
      </c>
      <c r="D6" s="21">
        <v>3</v>
      </c>
      <c r="E6" s="23">
        <v>45</v>
      </c>
      <c r="F6" s="21">
        <f t="shared" si="1"/>
        <v>5400</v>
      </c>
      <c r="G6" s="21">
        <f>0.5*(F6+F7)</f>
        <v>5400</v>
      </c>
      <c r="H6" s="21">
        <f t="shared" si="0"/>
        <v>8.2044511937473104</v>
      </c>
      <c r="I6" s="20"/>
      <c r="J6" s="21"/>
      <c r="K6" s="20"/>
      <c r="L6" s="21"/>
      <c r="M6" s="34">
        <f>IF(L6&gt;Veriler!$D$1,IF(L6&gt;Veriler!$D$2,IF(L6&gt;Veriler!$D$3,IF(L6&gt;Veriler!$D$4,IF(L6&gt;Veriler!$D$5,IF(L6&gt;Veriler!$D$6,IF(L6&gt;Veriler!$D$7,IF(L6&gt;Veriler!$D$8,"ders sorumlusuna başvur",Veriler!$A$8),Veriler!$A$7),Veriler!$A$6),Veriler!$A$5),Veriler!$A$4),Veriler!$A$3),Veriler!$A$2),Veriler!$A$1)</f>
        <v>1</v>
      </c>
      <c r="N6" s="34">
        <v>1</v>
      </c>
      <c r="O6" s="34" t="str">
        <f>VLOOKUP(N6,Veriler!A$1:C$8,2,FALSE)</f>
        <v>5 x Rose</v>
      </c>
      <c r="P6" s="35" t="str">
        <f>IF(I6&lt;VLOOKUP(N6,Veriler!A$1:E$8,5,FALSE),"UYGUNDUR","KESİT AKIMI TAŞIYAMIYOR")</f>
        <v>UYGUNDUR</v>
      </c>
    </row>
    <row r="7" spans="1:16">
      <c r="A7" s="22">
        <v>34</v>
      </c>
      <c r="B7" s="21">
        <v>34</v>
      </c>
      <c r="C7" s="21">
        <v>40</v>
      </c>
      <c r="D7" s="21">
        <v>3</v>
      </c>
      <c r="E7" s="23">
        <v>45</v>
      </c>
      <c r="F7" s="21">
        <f t="shared" si="1"/>
        <v>5400</v>
      </c>
      <c r="G7" s="21">
        <f>0.5*(F7+F8)</f>
        <v>4725</v>
      </c>
      <c r="H7" s="21">
        <f t="shared" si="0"/>
        <v>7.1788947945289001</v>
      </c>
      <c r="I7" s="20"/>
      <c r="J7" s="21"/>
      <c r="K7" s="20"/>
      <c r="L7" s="21"/>
      <c r="M7" s="34">
        <f>IF(L7&gt;Veriler!$D$1,IF(L7&gt;Veriler!$D$2,IF(L7&gt;Veriler!$D$3,IF(L7&gt;Veriler!$D$4,IF(L7&gt;Veriler!$D$5,IF(L7&gt;Veriler!$D$6,IF(L7&gt;Veriler!$D$7,IF(L7&gt;Veriler!$D$8,"ders sorumlusuna başvur",Veriler!$A$8),Veriler!$A$7),Veriler!$A$6),Veriler!$A$5),Veriler!$A$4),Veriler!$A$3),Veriler!$A$2),Veriler!$A$1)</f>
        <v>1</v>
      </c>
      <c r="N7" s="34">
        <v>1</v>
      </c>
      <c r="O7" s="34" t="str">
        <f>VLOOKUP(N7,Veriler!A$1:C$8,2,FALSE)</f>
        <v>5 x Rose</v>
      </c>
      <c r="P7" s="35" t="str">
        <f>IF(I7&lt;VLOOKUP(N7,Veriler!A$1:E$8,5,FALSE),"UYGUNDUR","KESİT AKIMI TAŞIYAMIYOR")</f>
        <v>UYGUNDUR</v>
      </c>
    </row>
    <row r="8" spans="1:16">
      <c r="A8" s="22">
        <v>35</v>
      </c>
      <c r="B8" s="21">
        <v>35</v>
      </c>
      <c r="C8" s="21">
        <v>30</v>
      </c>
      <c r="D8" s="21">
        <v>3</v>
      </c>
      <c r="E8" s="23">
        <v>45</v>
      </c>
      <c r="F8" s="21">
        <f t="shared" si="1"/>
        <v>4050</v>
      </c>
      <c r="G8" s="21">
        <f>0.5*(F8)</f>
        <v>2025</v>
      </c>
      <c r="H8" s="21">
        <f t="shared" si="0"/>
        <v>3.0766691976552401</v>
      </c>
      <c r="I8" s="20"/>
      <c r="J8" s="21"/>
      <c r="K8" s="20"/>
      <c r="L8" s="21"/>
      <c r="M8" s="34">
        <f>IF(L8&gt;Veriler!$D$1,IF(L8&gt;Veriler!$D$2,IF(L8&gt;Veriler!$D$3,IF(L8&gt;Veriler!$D$4,IF(L8&gt;Veriler!$D$5,IF(L8&gt;Veriler!$D$6,IF(L8&gt;Veriler!$D$7,IF(L8&gt;Veriler!$D$8,"ders sorumlusuna başvur",Veriler!$A$8),Veriler!$A$7),Veriler!$A$6),Veriler!$A$5),Veriler!$A$4),Veriler!$A$3),Veriler!$A$2),Veriler!$A$1)</f>
        <v>1</v>
      </c>
      <c r="N8" s="34">
        <v>1</v>
      </c>
      <c r="O8" s="34" t="str">
        <f>VLOOKUP(N8,Veriler!A$1:C$8,2,FALSE)</f>
        <v>5 x Rose</v>
      </c>
      <c r="P8" s="35" t="str">
        <f>IF(I8&lt;VLOOKUP(N8,Veriler!A$1:E$8,5,FALSE),"UYGUNDUR","KESİT AKIMI TAŞIYAMIYOR")</f>
        <v>UYGUNDUR</v>
      </c>
    </row>
    <row r="9" spans="1:16">
      <c r="A9" s="22">
        <v>36</v>
      </c>
      <c r="B9" s="21">
        <v>36</v>
      </c>
      <c r="C9" s="21">
        <v>40</v>
      </c>
      <c r="D9" s="21">
        <v>3</v>
      </c>
      <c r="E9" s="23">
        <v>45</v>
      </c>
      <c r="F9" s="21">
        <f t="shared" si="1"/>
        <v>5400</v>
      </c>
      <c r="G9" s="21">
        <f>0.5*(F9+F10)</f>
        <v>5400</v>
      </c>
      <c r="H9" s="21">
        <f t="shared" si="0"/>
        <v>8.2044511937473104</v>
      </c>
      <c r="I9" s="20"/>
      <c r="J9" s="21"/>
      <c r="K9" s="20"/>
      <c r="L9" s="21"/>
      <c r="M9" s="34">
        <f>IF(L9&gt;Veriler!$D$1,IF(L9&gt;Veriler!$D$2,IF(L9&gt;Veriler!$D$3,IF(L9&gt;Veriler!$D$4,IF(L9&gt;Veriler!$D$5,IF(L9&gt;Veriler!$D$6,IF(L9&gt;Veriler!$D$7,IF(L9&gt;Veriler!$D$8,"ders sorumlusuna başvur",Veriler!$A$8),Veriler!$A$7),Veriler!$A$6),Veriler!$A$5),Veriler!$A$4),Veriler!$A$3),Veriler!$A$2),Veriler!$A$1)</f>
        <v>1</v>
      </c>
      <c r="N9" s="34">
        <v>1</v>
      </c>
      <c r="O9" s="34" t="str">
        <f>VLOOKUP(N9,Veriler!A$1:C$8,2,FALSE)</f>
        <v>5 x Rose</v>
      </c>
      <c r="P9" s="35" t="str">
        <f>IF(I9&lt;VLOOKUP(N9,Veriler!A$1:E$8,5,FALSE),"UYGUNDUR","KESİT AKIMI TAŞIYAMIYOR")</f>
        <v>UYGUNDUR</v>
      </c>
    </row>
    <row r="10" spans="1:16">
      <c r="A10" s="22">
        <v>37</v>
      </c>
      <c r="B10" s="21">
        <v>37</v>
      </c>
      <c r="C10" s="21">
        <v>40</v>
      </c>
      <c r="D10" s="21">
        <v>3</v>
      </c>
      <c r="E10" s="23">
        <v>45</v>
      </c>
      <c r="F10" s="21">
        <f t="shared" si="1"/>
        <v>5400</v>
      </c>
      <c r="G10" s="21">
        <f>0.5*(F10+F11)</f>
        <v>5400</v>
      </c>
      <c r="H10" s="21">
        <f t="shared" si="0"/>
        <v>8.2044511937473104</v>
      </c>
      <c r="I10" s="20"/>
      <c r="J10" s="21"/>
      <c r="K10" s="20"/>
      <c r="L10" s="21"/>
      <c r="M10" s="34">
        <f>IF(L10&gt;Veriler!$D$1,IF(L10&gt;Veriler!$D$2,IF(L10&gt;Veriler!$D$3,IF(L10&gt;Veriler!$D$4,IF(L10&gt;Veriler!$D$5,IF(L10&gt;Veriler!$D$6,IF(L10&gt;Veriler!$D$7,IF(L10&gt;Veriler!$D$8,"ders sorumlusuna başvur",Veriler!$A$8),Veriler!$A$7),Veriler!$A$6),Veriler!$A$5),Veriler!$A$4),Veriler!$A$3),Veriler!$A$2),Veriler!$A$1)</f>
        <v>1</v>
      </c>
      <c r="N10" s="34">
        <v>1</v>
      </c>
      <c r="O10" s="34" t="str">
        <f>VLOOKUP(N10,Veriler!A$1:C$8,2,FALSE)</f>
        <v>5 x Rose</v>
      </c>
      <c r="P10" s="35" t="str">
        <f>IF(I10&lt;VLOOKUP(N10,Veriler!A$1:E$8,5,FALSE),"UYGUNDUR","KESİT AKIMI TAŞIYAMIYOR")</f>
        <v>UYGUNDUR</v>
      </c>
    </row>
    <row r="11" spans="1:16">
      <c r="A11" s="22">
        <v>38</v>
      </c>
      <c r="B11" s="21">
        <v>38</v>
      </c>
      <c r="C11" s="21">
        <v>40</v>
      </c>
      <c r="D11" s="21">
        <v>3</v>
      </c>
      <c r="E11" s="23">
        <v>45</v>
      </c>
      <c r="F11" s="21">
        <f t="shared" si="1"/>
        <v>5400</v>
      </c>
      <c r="G11" s="21">
        <f>0.5*(F11+F12)</f>
        <v>5400</v>
      </c>
      <c r="H11" s="21">
        <f t="shared" si="0"/>
        <v>8.2044511937473104</v>
      </c>
      <c r="I11" s="20"/>
      <c r="J11" s="21"/>
      <c r="K11" s="20"/>
      <c r="L11" s="21"/>
      <c r="M11" s="34">
        <f>IF(L11&gt;Veriler!$D$1,IF(L11&gt;Veriler!$D$2,IF(L11&gt;Veriler!$D$3,IF(L11&gt;Veriler!$D$4,IF(L11&gt;Veriler!$D$5,IF(L11&gt;Veriler!$D$6,IF(L11&gt;Veriler!$D$7,IF(L11&gt;Veriler!$D$8,"ders sorumlusuna başvur",Veriler!$A$8),Veriler!$A$7),Veriler!$A$6),Veriler!$A$5),Veriler!$A$4),Veriler!$A$3),Veriler!$A$2),Veriler!$A$1)</f>
        <v>1</v>
      </c>
      <c r="N11" s="34">
        <v>1</v>
      </c>
      <c r="O11" s="34" t="str">
        <f>VLOOKUP(N11,Veriler!A$1:C$8,2,FALSE)</f>
        <v>5 x Rose</v>
      </c>
      <c r="P11" s="35" t="str">
        <f>IF(I11&lt;VLOOKUP(N11,Veriler!A$1:E$8,5,FALSE),"UYGUNDUR","KESİT AKIMI TAŞIYAMIYOR")</f>
        <v>UYGUNDUR</v>
      </c>
    </row>
    <row r="12" spans="1:16">
      <c r="A12" s="22">
        <v>39</v>
      </c>
      <c r="B12" s="21">
        <v>39</v>
      </c>
      <c r="C12" s="21">
        <v>40</v>
      </c>
      <c r="D12" s="21">
        <v>3</v>
      </c>
      <c r="E12" s="23">
        <v>45</v>
      </c>
      <c r="F12" s="21">
        <f t="shared" si="1"/>
        <v>5400</v>
      </c>
      <c r="G12" s="21">
        <f>0.5*(F12+F13+F14)</f>
        <v>7087.5</v>
      </c>
      <c r="H12" s="21">
        <f t="shared" si="0"/>
        <v>10.7683421917933</v>
      </c>
      <c r="I12" s="20"/>
      <c r="J12" s="21"/>
      <c r="K12" s="20"/>
      <c r="L12" s="21"/>
      <c r="M12" s="34">
        <f>IF(L12&gt;Veriler!$D$1,IF(L12&gt;Veriler!$D$2,IF(L12&gt;Veriler!$D$3,IF(L12&gt;Veriler!$D$4,IF(L12&gt;Veriler!$D$5,IF(L12&gt;Veriler!$D$6,IF(L12&gt;Veriler!$D$7,IF(L12&gt;Veriler!$D$8,"ders sorumlusuna başvur",Veriler!$A$8),Veriler!$A$7),Veriler!$A$6),Veriler!$A$5),Veriler!$A$4),Veriler!$A$3),Veriler!$A$2),Veriler!$A$1)</f>
        <v>1</v>
      </c>
      <c r="N12" s="34">
        <v>1</v>
      </c>
      <c r="O12" s="34" t="str">
        <f>VLOOKUP(N12,Veriler!A$1:C$8,2,FALSE)</f>
        <v>5 x Rose</v>
      </c>
      <c r="P12" s="35" t="str">
        <f>IF(I12&lt;VLOOKUP(N12,Veriler!A$1:E$8,5,FALSE),"UYGUNDUR","KESİT AKIMI TAŞIYAMIYOR")</f>
        <v>UYGUNDUR</v>
      </c>
    </row>
    <row r="13" spans="1:16">
      <c r="A13" s="22">
        <v>40</v>
      </c>
      <c r="B13" s="21">
        <v>40</v>
      </c>
      <c r="C13" s="21">
        <v>25</v>
      </c>
      <c r="D13" s="21">
        <v>3</v>
      </c>
      <c r="E13" s="23">
        <v>45</v>
      </c>
      <c r="F13" s="21">
        <f t="shared" si="1"/>
        <v>3375</v>
      </c>
      <c r="G13" s="21">
        <f>0.5*(F13)</f>
        <v>1687.5</v>
      </c>
      <c r="H13" s="21">
        <f t="shared" si="0"/>
        <v>2.5638909980460398</v>
      </c>
      <c r="I13" s="20"/>
      <c r="J13" s="21"/>
      <c r="K13" s="20"/>
      <c r="L13" s="21"/>
      <c r="M13" s="34">
        <f>IF(L13&gt;Veriler!$D$1,IF(L13&gt;Veriler!$D$2,IF(L13&gt;Veriler!$D$3,IF(L13&gt;Veriler!$D$4,IF(L13&gt;Veriler!$D$5,IF(L13&gt;Veriler!$D$6,IF(L13&gt;Veriler!$D$7,IF(L13&gt;Veriler!$D$8,"ders sorumlusuna başvur",Veriler!$A$8),Veriler!$A$7),Veriler!$A$6),Veriler!$A$5),Veriler!$A$4),Veriler!$A$3),Veriler!$A$2),Veriler!$A$1)</f>
        <v>1</v>
      </c>
      <c r="N13" s="34">
        <v>1</v>
      </c>
      <c r="O13" s="34" t="str">
        <f>VLOOKUP(N13,Veriler!A$1:C$8,2,FALSE)</f>
        <v>5 x Rose</v>
      </c>
      <c r="P13" s="35" t="str">
        <f>IF(I13&lt;VLOOKUP(N13,Veriler!A$1:E$8,5,FALSE),"UYGUNDUR","KESİT AKIMI TAŞIYAMIYOR")</f>
        <v>UYGUNDUR</v>
      </c>
    </row>
    <row r="14" spans="1:16">
      <c r="A14" s="22">
        <v>41</v>
      </c>
      <c r="B14" s="21">
        <v>41</v>
      </c>
      <c r="C14" s="21">
        <v>40</v>
      </c>
      <c r="D14" s="21">
        <v>3</v>
      </c>
      <c r="E14" s="23">
        <v>45</v>
      </c>
      <c r="F14" s="21">
        <f t="shared" si="1"/>
        <v>5400</v>
      </c>
      <c r="G14" s="21">
        <f>0.5*(F14)</f>
        <v>2700</v>
      </c>
      <c r="H14" s="21">
        <f t="shared" si="0"/>
        <v>4.1022255968736596</v>
      </c>
      <c r="I14" s="20"/>
      <c r="J14" s="21"/>
      <c r="K14" s="20"/>
      <c r="L14" s="21"/>
      <c r="M14" s="34">
        <f>IF(L14&gt;Veriler!$D$1,IF(L14&gt;Veriler!$D$2,IF(L14&gt;Veriler!$D$3,IF(L14&gt;Veriler!$D$4,IF(L14&gt;Veriler!$D$5,IF(L14&gt;Veriler!$D$6,IF(L14&gt;Veriler!$D$7,IF(L14&gt;Veriler!$D$8,"ders sorumlusuna başvur",Veriler!$A$8),Veriler!$A$7),Veriler!$A$6),Veriler!$A$5),Veriler!$A$4),Veriler!$A$3),Veriler!$A$2),Veriler!$A$1)</f>
        <v>1</v>
      </c>
      <c r="N14" s="34">
        <v>1</v>
      </c>
      <c r="O14" s="34" t="str">
        <f>VLOOKUP(N14,Veriler!A$1:C$8,2,FALSE)</f>
        <v>5 x Rose</v>
      </c>
      <c r="P14" s="35" t="str">
        <f>IF(I14&lt;VLOOKUP(N14,Veriler!A$1:E$8,5,FALSE),"UYGUNDUR","KESİT AKIMI TAŞIYAMIYOR")</f>
        <v>UYGUNDUR</v>
      </c>
    </row>
    <row r="15" spans="1:16" ht="15" customHeight="1">
      <c r="A15" s="22">
        <v>42</v>
      </c>
      <c r="B15" s="21">
        <v>42</v>
      </c>
      <c r="C15" s="21">
        <v>9</v>
      </c>
      <c r="D15" s="21">
        <v>3</v>
      </c>
      <c r="E15" s="23">
        <v>45</v>
      </c>
      <c r="F15" s="21">
        <f t="shared" si="1"/>
        <v>1215</v>
      </c>
      <c r="G15" s="21">
        <f>0.5*(F15+F16+F19)</f>
        <v>3442.5</v>
      </c>
      <c r="H15" s="21">
        <f t="shared" si="0"/>
        <v>5.2303376360139131</v>
      </c>
      <c r="I15" s="20">
        <f>H15+H16+H17+H18+I19</f>
        <v>94.658855647985988</v>
      </c>
      <c r="J15" s="21">
        <f>I15*C15</f>
        <v>851.9297008318739</v>
      </c>
      <c r="K15" s="20">
        <f>J15+K19</f>
        <v>13462.444667390495</v>
      </c>
      <c r="L15" s="21">
        <f>K15/(8*35)</f>
        <v>48.080159526394624</v>
      </c>
      <c r="M15" s="34">
        <v>1</v>
      </c>
      <c r="N15" s="34">
        <v>1</v>
      </c>
      <c r="O15" s="34" t="str">
        <f>VLOOKUP(N15,Veriler!A$1:C$8,2,FALSE)</f>
        <v>5 x Rose</v>
      </c>
      <c r="P15" s="35" t="s">
        <v>19</v>
      </c>
    </row>
    <row r="16" spans="1:16">
      <c r="A16" s="22">
        <v>43</v>
      </c>
      <c r="B16" s="21">
        <v>43</v>
      </c>
      <c r="C16" s="21">
        <v>20</v>
      </c>
      <c r="D16" s="21">
        <v>3</v>
      </c>
      <c r="E16" s="23">
        <v>45</v>
      </c>
      <c r="F16" s="21">
        <f t="shared" si="1"/>
        <v>2700</v>
      </c>
      <c r="G16" s="21">
        <f>0.5*(F16+F17)</f>
        <v>3150</v>
      </c>
      <c r="H16" s="21">
        <f t="shared" si="0"/>
        <v>4.785929863019267</v>
      </c>
      <c r="I16" s="21"/>
      <c r="J16" s="21"/>
      <c r="K16" s="21"/>
      <c r="L16" s="21"/>
      <c r="M16" s="34">
        <f>IF(L16&gt;Veriler!$D$1,IF(L16&gt;Veriler!$D$2,IF(L16&gt;Veriler!$D$3,IF(L16&gt;Veriler!$D$4,IF(L16&gt;Veriler!$D$5,IF(L16&gt;Veriler!$D$6,IF(L16&gt;Veriler!$D$7,IF(L16&gt;Veriler!$D$8,"ders sorumlusuna başvur",Veriler!$A$8),Veriler!$A$7),Veriler!$A$6),Veriler!$A$5),Veriler!$A$4),Veriler!$A$3),Veriler!$A$2),Veriler!$A$1)</f>
        <v>1</v>
      </c>
      <c r="N16" s="34">
        <v>1</v>
      </c>
      <c r="O16" s="34" t="str">
        <f>VLOOKUP(N16,Veriler!A$1:C$8,2,FALSE)</f>
        <v>5 x Rose</v>
      </c>
      <c r="P16" s="35" t="str">
        <f>IF(I16&lt;VLOOKUP(N16,Veriler!A$1:E$8,5,FALSE),"UYGUNDUR","KESİT AKIMI TAŞIYAMIYOR")</f>
        <v>UYGUNDUR</v>
      </c>
    </row>
    <row r="17" spans="1:16">
      <c r="A17" s="22">
        <v>44</v>
      </c>
      <c r="B17" s="21">
        <v>44</v>
      </c>
      <c r="C17" s="21">
        <v>40</v>
      </c>
      <c r="D17" s="21">
        <v>2</v>
      </c>
      <c r="E17" s="23">
        <v>45</v>
      </c>
      <c r="F17" s="21">
        <f t="shared" si="1"/>
        <v>3600</v>
      </c>
      <c r="G17" s="21">
        <f>0.5*(F17+F18)</f>
        <v>3285</v>
      </c>
      <c r="H17" s="21">
        <f t="shared" si="0"/>
        <v>4.9910411428629491</v>
      </c>
      <c r="I17" s="21"/>
      <c r="J17" s="21"/>
      <c r="K17" s="21"/>
      <c r="L17" s="21"/>
      <c r="M17" s="34">
        <f>IF(L17&gt;Veriler!$D$1,IF(L17&gt;Veriler!$D$2,IF(L17&gt;Veriler!$D$3,IF(L17&gt;Veriler!$D$4,IF(L17&gt;Veriler!$D$5,IF(L17&gt;Veriler!$D$6,IF(L17&gt;Veriler!$D$7,IF(L17&gt;Veriler!$D$8,"ders sorumlusuna başvur",Veriler!$A$8),Veriler!$A$7),Veriler!$A$6),Veriler!$A$5),Veriler!$A$4),Veriler!$A$3),Veriler!$A$2),Veriler!$A$1)</f>
        <v>1</v>
      </c>
      <c r="N17" s="34">
        <v>1</v>
      </c>
      <c r="O17" s="34" t="str">
        <f>VLOOKUP(N17,Veriler!A$1:C$8,2,FALSE)</f>
        <v>5 x Rose</v>
      </c>
      <c r="P17" s="35" t="str">
        <f>IF(I17&lt;VLOOKUP(N17,Veriler!A$1:E$8,5,FALSE),"UYGUNDUR","KESİT AKIMI TAŞIYAMIYOR")</f>
        <v>UYGUNDUR</v>
      </c>
    </row>
    <row r="18" spans="1:16">
      <c r="A18" s="22">
        <v>45</v>
      </c>
      <c r="B18" s="21">
        <v>45</v>
      </c>
      <c r="C18" s="21">
        <v>33</v>
      </c>
      <c r="D18" s="21">
        <v>2</v>
      </c>
      <c r="E18" s="23">
        <v>45</v>
      </c>
      <c r="F18" s="21">
        <f t="shared" si="1"/>
        <v>2970</v>
      </c>
      <c r="G18" s="21">
        <f>0.5*(F18)</f>
        <v>1485</v>
      </c>
      <c r="H18" s="21">
        <f t="shared" si="0"/>
        <v>2.2562240782805114</v>
      </c>
      <c r="I18" s="21"/>
      <c r="J18" s="21"/>
      <c r="K18" s="21"/>
      <c r="L18" s="21"/>
      <c r="M18" s="34">
        <f>IF(L18&gt;Veriler!$D$1,IF(L18&gt;Veriler!$D$2,IF(L18&gt;Veriler!$D$3,IF(L18&gt;Veriler!$D$4,IF(L18&gt;Veriler!$D$5,IF(L18&gt;Veriler!$D$6,IF(L18&gt;Veriler!$D$7,IF(L18&gt;Veriler!$D$8,"ders sorumlusuna başvur",Veriler!$A$8),Veriler!$A$7),Veriler!$A$6),Veriler!$A$5),Veriler!$A$4),Veriler!$A$3),Veriler!$A$2),Veriler!$A$1)</f>
        <v>1</v>
      </c>
      <c r="N18" s="34">
        <v>1</v>
      </c>
      <c r="O18" s="34" t="str">
        <f>VLOOKUP(N18,Veriler!A$1:C$8,2,FALSE)</f>
        <v>5 x Rose</v>
      </c>
      <c r="P18" s="35" t="str">
        <f>IF(I18&lt;VLOOKUP(N18,Veriler!A$1:E$8,5,FALSE),"UYGUNDUR","KESİT AKIMI TAŞIYAMIYOR")</f>
        <v>UYGUNDUR</v>
      </c>
    </row>
    <row r="19" spans="1:16" ht="12" customHeight="1">
      <c r="A19" s="22">
        <v>46</v>
      </c>
      <c r="B19" s="21">
        <v>46</v>
      </c>
      <c r="C19" s="21">
        <v>33</v>
      </c>
      <c r="D19" s="21">
        <v>2</v>
      </c>
      <c r="E19" s="23">
        <v>45</v>
      </c>
      <c r="F19" s="21">
        <f t="shared" si="1"/>
        <v>2970</v>
      </c>
      <c r="G19" s="21">
        <f>0.5*(F19+F20+F25)</f>
        <v>3285</v>
      </c>
      <c r="H19" s="21">
        <f t="shared" si="0"/>
        <v>4.9910411428629491</v>
      </c>
      <c r="I19" s="21">
        <f>H19+H20+H21+H22+H23+H24+I25</f>
        <v>77.395322927809346</v>
      </c>
      <c r="J19" s="21">
        <f>I19*C19</f>
        <v>2554.0456566177086</v>
      </c>
      <c r="K19" s="21">
        <f>J19+K25</f>
        <v>12610.514966558621</v>
      </c>
      <c r="L19" s="21">
        <f>K19/(8*35)</f>
        <v>45.037553451995073</v>
      </c>
      <c r="M19" s="34">
        <v>1</v>
      </c>
      <c r="N19" s="34">
        <v>1</v>
      </c>
      <c r="O19" s="34" t="str">
        <f>VLOOKUP(N19,Veriler!A$1:C$8,2,FALSE)</f>
        <v>5 x Rose</v>
      </c>
      <c r="P19" s="35" t="s">
        <v>19</v>
      </c>
    </row>
    <row r="20" spans="1:16">
      <c r="A20" s="22">
        <v>47</v>
      </c>
      <c r="B20" s="21">
        <v>47</v>
      </c>
      <c r="C20" s="21">
        <v>30</v>
      </c>
      <c r="D20" s="21">
        <v>2</v>
      </c>
      <c r="E20" s="23">
        <v>45</v>
      </c>
      <c r="F20" s="21">
        <f t="shared" si="1"/>
        <v>2700</v>
      </c>
      <c r="G20" s="21">
        <f>0.5*(F20+F21)</f>
        <v>3150</v>
      </c>
      <c r="H20" s="21">
        <f t="shared" si="0"/>
        <v>4.785929863019267</v>
      </c>
      <c r="I20" s="20"/>
      <c r="J20" s="21"/>
      <c r="K20" s="20"/>
      <c r="L20" s="21"/>
      <c r="M20" s="34">
        <f>IF(L20&gt;Veriler!$D$1,IF(L20&gt;Veriler!$D$2,IF(L20&gt;Veriler!$D$3,IF(L20&gt;Veriler!$D$4,IF(L20&gt;Veriler!$D$5,IF(L20&gt;Veriler!$D$6,IF(L20&gt;Veriler!$D$7,IF(L20&gt;Veriler!$D$8,"ders sorumlusuna başvur",Veriler!$A$8),Veriler!$A$7),Veriler!$A$6),Veriler!$A$5),Veriler!$A$4),Veriler!$A$3),Veriler!$A$2),Veriler!$A$1)</f>
        <v>1</v>
      </c>
      <c r="N20" s="34">
        <v>1</v>
      </c>
      <c r="O20" s="34" t="str">
        <f>VLOOKUP(N20,Veriler!A$1:C$8,2,FALSE)</f>
        <v>5 x Rose</v>
      </c>
      <c r="P20" s="35" t="str">
        <f>IF(I20&lt;VLOOKUP(N20,Veriler!A$1:E$8,5,FALSE),"UYGUNDUR","KESİT AKIMI TAŞIYAMIYOR")</f>
        <v>UYGUNDUR</v>
      </c>
    </row>
    <row r="21" spans="1:16">
      <c r="A21" s="22">
        <v>48</v>
      </c>
      <c r="B21" s="21">
        <v>48</v>
      </c>
      <c r="C21" s="21">
        <v>40</v>
      </c>
      <c r="D21" s="21">
        <v>2</v>
      </c>
      <c r="E21" s="23">
        <v>45</v>
      </c>
      <c r="F21" s="21">
        <f t="shared" si="1"/>
        <v>3600</v>
      </c>
      <c r="G21" s="21">
        <f>0.5*(F21+F22)</f>
        <v>3375</v>
      </c>
      <c r="H21" s="21">
        <f t="shared" si="0"/>
        <v>5.1277819960920716</v>
      </c>
      <c r="I21" s="20"/>
      <c r="J21" s="21"/>
      <c r="K21" s="20"/>
      <c r="L21" s="21"/>
      <c r="M21" s="34">
        <f>IF(L21&gt;Veriler!$D$1,IF(L21&gt;Veriler!$D$2,IF(L21&gt;Veriler!$D$3,IF(L21&gt;Veriler!$D$4,IF(L21&gt;Veriler!$D$5,IF(L21&gt;Veriler!$D$6,IF(L21&gt;Veriler!$D$7,IF(L21&gt;Veriler!$D$8,"ders sorumlusuna başvur",Veriler!$A$8),Veriler!$A$7),Veriler!$A$6),Veriler!$A$5),Veriler!$A$4),Veriler!$A$3),Veriler!$A$2),Veriler!$A$1)</f>
        <v>1</v>
      </c>
      <c r="N21" s="34">
        <v>1</v>
      </c>
      <c r="O21" s="34" t="str">
        <f>VLOOKUP(N21,Veriler!A$1:C$8,2,FALSE)</f>
        <v>5 x Rose</v>
      </c>
      <c r="P21" s="35" t="str">
        <f>IF(I21&lt;VLOOKUP(N21,Veriler!A$1:E$8,5,FALSE),"UYGUNDUR","KESİT AKIMI TAŞIYAMIYOR")</f>
        <v>UYGUNDUR</v>
      </c>
    </row>
    <row r="22" spans="1:16">
      <c r="A22" s="22">
        <v>49</v>
      </c>
      <c r="B22" s="21">
        <v>49</v>
      </c>
      <c r="C22" s="21">
        <v>35</v>
      </c>
      <c r="D22" s="21">
        <v>2</v>
      </c>
      <c r="E22" s="23">
        <v>45</v>
      </c>
      <c r="F22" s="21">
        <f t="shared" si="1"/>
        <v>3150</v>
      </c>
      <c r="G22" s="21">
        <f>0.5*(F22+F23)</f>
        <v>2002.5</v>
      </c>
      <c r="H22" s="21">
        <f t="shared" si="0"/>
        <v>3.0424839843479625</v>
      </c>
      <c r="I22" s="21"/>
      <c r="J22" s="21"/>
      <c r="K22" s="21"/>
      <c r="L22" s="21"/>
      <c r="M22" s="34">
        <f>IF(L22&gt;Veriler!$D$1,IF(L22&gt;Veriler!$D$2,IF(L22&gt;Veriler!$D$3,IF(L22&gt;Veriler!$D$4,IF(L22&gt;Veriler!$D$5,IF(L22&gt;Veriler!$D$6,IF(L22&gt;Veriler!$D$7,IF(L22&gt;Veriler!$D$8,"ders sorumlusuna başvur",Veriler!$A$8),Veriler!$A$7),Veriler!$A$6),Veriler!$A$5),Veriler!$A$4),Veriler!$A$3),Veriler!$A$2),Veriler!$A$1)</f>
        <v>1</v>
      </c>
      <c r="N22" s="34">
        <v>1</v>
      </c>
      <c r="O22" s="34" t="str">
        <f>VLOOKUP(N22,Veriler!A$1:C$8,2,FALSE)</f>
        <v>5 x Rose</v>
      </c>
      <c r="P22" s="35" t="str">
        <f>IF(I22&lt;VLOOKUP(N22,Veriler!A$1:E$8,5,FALSE),"UYGUNDUR","KESİT AKIMI TAŞIYAMIYOR")</f>
        <v>UYGUNDUR</v>
      </c>
    </row>
    <row r="23" spans="1:16">
      <c r="A23" s="22">
        <v>50</v>
      </c>
      <c r="B23" s="21">
        <v>50</v>
      </c>
      <c r="C23" s="21">
        <v>19</v>
      </c>
      <c r="D23" s="21">
        <v>1</v>
      </c>
      <c r="E23" s="23">
        <v>45</v>
      </c>
      <c r="F23" s="21">
        <f t="shared" si="1"/>
        <v>855</v>
      </c>
      <c r="G23" s="21">
        <f>0.5*(F23+F24)</f>
        <v>1327.5</v>
      </c>
      <c r="H23" s="21">
        <f t="shared" si="0"/>
        <v>2.0169275851295483</v>
      </c>
      <c r="I23" s="21"/>
      <c r="J23" s="21"/>
      <c r="K23" s="21"/>
      <c r="L23" s="21"/>
      <c r="M23" s="34">
        <f>IF(L23&gt;Veriler!$D$1,IF(L23&gt;Veriler!$D$2,IF(L23&gt;Veriler!$D$3,IF(L23&gt;Veriler!$D$4,IF(L23&gt;Veriler!$D$5,IF(L23&gt;Veriler!$D$6,IF(L23&gt;Veriler!$D$7,IF(L23&gt;Veriler!$D$8,"ders sorumlusuna başvur",Veriler!$A$8),Veriler!$A$7),Veriler!$A$6),Veriler!$A$5),Veriler!$A$4),Veriler!$A$3),Veriler!$A$2),Veriler!$A$1)</f>
        <v>1</v>
      </c>
      <c r="N23" s="34">
        <v>1</v>
      </c>
      <c r="O23" s="34" t="str">
        <f>VLOOKUP(N23,Veriler!A$1:C$8,2,FALSE)</f>
        <v>5 x Rose</v>
      </c>
      <c r="P23" s="35" t="str">
        <f>IF(I23&lt;VLOOKUP(N23,Veriler!A$1:E$8,5,FALSE),"UYGUNDUR","KESİT AKIMI TAŞIYAMIYOR")</f>
        <v>UYGUNDUR</v>
      </c>
    </row>
    <row r="24" spans="1:16">
      <c r="A24" s="22">
        <v>51</v>
      </c>
      <c r="B24" s="21">
        <v>51</v>
      </c>
      <c r="C24" s="21">
        <v>40</v>
      </c>
      <c r="D24" s="21">
        <v>1</v>
      </c>
      <c r="E24" s="23">
        <v>45</v>
      </c>
      <c r="F24" s="21">
        <f t="shared" si="1"/>
        <v>1800</v>
      </c>
      <c r="G24" s="21">
        <f>0.5*(F24)</f>
        <v>900</v>
      </c>
      <c r="H24" s="21">
        <f t="shared" si="0"/>
        <v>1.3674085322912191</v>
      </c>
      <c r="I24" s="21"/>
      <c r="J24" s="21"/>
      <c r="K24" s="21"/>
      <c r="L24" s="21"/>
      <c r="M24" s="34">
        <f>IF(L24&gt;Veriler!$D$1,IF(L24&gt;Veriler!$D$2,IF(L24&gt;Veriler!$D$3,IF(L24&gt;Veriler!$D$4,IF(L24&gt;Veriler!$D$5,IF(L24&gt;Veriler!$D$6,IF(L24&gt;Veriler!$D$7,IF(L24&gt;Veriler!$D$8,"ders sorumlusuna başvur",Veriler!$A$8),Veriler!$A$7),Veriler!$A$6),Veriler!$A$5),Veriler!$A$4),Veriler!$A$3),Veriler!$A$2),Veriler!$A$1)</f>
        <v>1</v>
      </c>
      <c r="N24" s="34">
        <v>1</v>
      </c>
      <c r="O24" s="34" t="str">
        <f>VLOOKUP(N24,Veriler!A$1:C$8,2,FALSE)</f>
        <v>5 x Rose</v>
      </c>
      <c r="P24" s="35" t="str">
        <f>IF(I24&lt;VLOOKUP(N24,Veriler!A$1:E$8,5,FALSE),"UYGUNDUR","KESİT AKIMI TAŞIYAMIYOR")</f>
        <v>UYGUNDUR</v>
      </c>
    </row>
    <row r="25" spans="1:16" ht="13.05" customHeight="1">
      <c r="A25" s="22">
        <v>52</v>
      </c>
      <c r="B25" s="21">
        <v>52</v>
      </c>
      <c r="C25" s="21">
        <v>20</v>
      </c>
      <c r="D25" s="21">
        <v>1</v>
      </c>
      <c r="E25" s="23">
        <v>45</v>
      </c>
      <c r="F25" s="21">
        <f t="shared" si="1"/>
        <v>900</v>
      </c>
      <c r="G25" s="21">
        <f>0.5*(F25+F26)</f>
        <v>765</v>
      </c>
      <c r="H25" s="21">
        <f t="shared" si="0"/>
        <v>1.1622972524475361</v>
      </c>
      <c r="I25" s="20">
        <f>H25+I26</f>
        <v>56.063749824066328</v>
      </c>
      <c r="J25" s="21">
        <f>I25*C25</f>
        <v>1121.2749964813265</v>
      </c>
      <c r="K25" s="20">
        <f>J25+K26</f>
        <v>10056.469309940912</v>
      </c>
      <c r="L25" s="21">
        <f>K25/(8*35)</f>
        <v>35.915961821217543</v>
      </c>
      <c r="M25" s="34">
        <f>IF(L25&gt;Veriler!$D$1,IF(L25&gt;Veriler!$D$2,IF(L25&gt;Veriler!$D$3,IF(L25&gt;Veriler!$D$4,IF(L25&gt;Veriler!$D$5,IF(L25&gt;Veriler!$D$6,IF(L25&gt;Veriler!$D$7,IF(L25&gt;Veriler!$D$8,"ders sorumlusuna başvur",Veriler!$A$8),Veriler!$A$7),Veriler!$A$6),Veriler!$A$5),Veriler!$A$4),Veriler!$A$3),Veriler!$A$2),Veriler!$A$1)</f>
        <v>4</v>
      </c>
      <c r="N25" s="34">
        <v>8</v>
      </c>
      <c r="O25" s="34" t="str">
        <f>VLOOKUP(N25,Veriler!A$1:C$8,2,FALSE)</f>
        <v>3xOxlip+Rose/Aster</v>
      </c>
      <c r="P25" s="35" t="str">
        <f>IF(I25&lt;VLOOKUP(N25,Veriler!A$1:E$8,5,FALSE),"UYGUNDUR","KESİT AKIMI TAŞIYAMIYOR")</f>
        <v>UYGUNDUR</v>
      </c>
    </row>
    <row r="26" spans="1:16" ht="13.05" customHeight="1">
      <c r="A26" s="22">
        <v>53</v>
      </c>
      <c r="B26" s="21">
        <v>53</v>
      </c>
      <c r="C26" s="21">
        <v>14</v>
      </c>
      <c r="D26" s="21">
        <v>1</v>
      </c>
      <c r="E26" s="23">
        <v>45</v>
      </c>
      <c r="F26" s="21">
        <f t="shared" si="1"/>
        <v>630</v>
      </c>
      <c r="G26" s="21">
        <f>0.5*(F26+F27+F32)</f>
        <v>2115</v>
      </c>
      <c r="H26" s="21">
        <f t="shared" si="0"/>
        <v>3.2134100508843648</v>
      </c>
      <c r="I26" s="20">
        <f>H26+H27+H28+H29+H30+H31+I32</f>
        <v>54.90145257161879</v>
      </c>
      <c r="J26" s="21">
        <f>I26*C26</f>
        <v>768.62033600266307</v>
      </c>
      <c r="K26" s="20">
        <f>J26+K32</f>
        <v>8935.1943134595858</v>
      </c>
      <c r="L26" s="21">
        <f>K26/(8*35)</f>
        <v>31.911408262355664</v>
      </c>
      <c r="M26" s="34">
        <f>IF(L26&gt;Veriler!$D$1,IF(L26&gt;Veriler!$D$2,IF(L26&gt;Veriler!$D$3,IF(L26&gt;Veriler!$D$4,IF(L26&gt;Veriler!$D$5,IF(L26&gt;Veriler!$D$6,IF(L26&gt;Veriler!$D$7,IF(L26&gt;Veriler!$D$8,"ders sorumlusuna başvur",Veriler!$A$8),Veriler!$A$7),Veriler!$A$6),Veriler!$A$5),Veriler!$A$4),Veriler!$A$3),Veriler!$A$2),Veriler!$A$1)</f>
        <v>3</v>
      </c>
      <c r="N26" s="34">
        <v>7</v>
      </c>
      <c r="O26" s="34" t="str">
        <f>VLOOKUP(N26,Veriler!A$1:C$8,2,FALSE)</f>
        <v>3xPhlox + Rose/Poppy</v>
      </c>
      <c r="P26" s="35" t="str">
        <f>IF(I26&lt;VLOOKUP(N26,Veriler!A$1:E$8,5,FALSE),"UYGUNDUR","KESİT AKIMI TAŞIYAMIYOR")</f>
        <v>UYGUNDUR</v>
      </c>
    </row>
    <row r="27" spans="1:16">
      <c r="A27" s="22">
        <v>54</v>
      </c>
      <c r="B27" s="21">
        <v>54</v>
      </c>
      <c r="C27" s="21">
        <v>40</v>
      </c>
      <c r="D27" s="21">
        <v>1</v>
      </c>
      <c r="E27" s="23">
        <v>45</v>
      </c>
      <c r="F27" s="21">
        <f t="shared" si="1"/>
        <v>1800</v>
      </c>
      <c r="G27" s="21">
        <f>0.5*(F27+F28+F29)</f>
        <v>2700</v>
      </c>
      <c r="H27" s="21">
        <f t="shared" si="0"/>
        <v>4.102225596873657</v>
      </c>
      <c r="I27" s="21"/>
      <c r="J27" s="21"/>
      <c r="K27" s="21"/>
      <c r="L27" s="21"/>
      <c r="M27" s="34">
        <f>IF(L27&gt;Veriler!$D$1,IF(L27&gt;Veriler!$D$2,IF(L27&gt;Veriler!$D$3,IF(L27&gt;Veriler!$D$4,IF(L27&gt;Veriler!$D$5,IF(L27&gt;Veriler!$D$6,IF(L27&gt;Veriler!$D$7,IF(L27&gt;Veriler!$D$8,"ders sorumlusuna başvur",Veriler!$A$8),Veriler!$A$7),Veriler!$A$6),Veriler!$A$5),Veriler!$A$4),Veriler!$A$3),Veriler!$A$2),Veriler!$A$1)</f>
        <v>1</v>
      </c>
      <c r="N27" s="34">
        <v>1</v>
      </c>
      <c r="O27" s="34" t="str">
        <f>VLOOKUP(N27,Veriler!A$1:C$8,2,FALSE)</f>
        <v>5 x Rose</v>
      </c>
      <c r="P27" s="35" t="str">
        <f>IF(I27&lt;VLOOKUP(N27,Veriler!A$1:E$8,5,FALSE),"UYGUNDUR","KESİT AKIMI TAŞIYAMIYOR")</f>
        <v>UYGUNDUR</v>
      </c>
    </row>
    <row r="28" spans="1:16">
      <c r="A28" s="22">
        <v>55</v>
      </c>
      <c r="B28" s="21">
        <v>55</v>
      </c>
      <c r="C28" s="21">
        <v>40</v>
      </c>
      <c r="D28" s="21">
        <v>1</v>
      </c>
      <c r="E28" s="23">
        <v>45</v>
      </c>
      <c r="F28" s="21">
        <f t="shared" si="1"/>
        <v>1800</v>
      </c>
      <c r="G28" s="21">
        <f>0.5*(F28)</f>
        <v>900</v>
      </c>
      <c r="H28" s="21">
        <f t="shared" si="0"/>
        <v>1.3674085322912191</v>
      </c>
      <c r="I28" s="21"/>
      <c r="J28" s="21"/>
      <c r="K28" s="21"/>
      <c r="L28" s="21"/>
      <c r="M28" s="34">
        <f>IF(L28&gt;Veriler!$D$1,IF(L28&gt;Veriler!$D$2,IF(L28&gt;Veriler!$D$3,IF(L28&gt;Veriler!$D$4,IF(L28&gt;Veriler!$D$5,IF(L28&gt;Veriler!$D$6,IF(L28&gt;Veriler!$D$7,IF(L28&gt;Veriler!$D$8,"ders sorumlusuna başvur",Veriler!$A$8),Veriler!$A$7),Veriler!$A$6),Veriler!$A$5),Veriler!$A$4),Veriler!$A$3),Veriler!$A$2),Veriler!$A$1)</f>
        <v>1</v>
      </c>
      <c r="N28" s="34">
        <v>1</v>
      </c>
      <c r="O28" s="34" t="str">
        <f>VLOOKUP(N28,Veriler!A$1:C$8,2,FALSE)</f>
        <v>5 x Rose</v>
      </c>
      <c r="P28" s="35" t="str">
        <f>IF(I28&lt;VLOOKUP(N28,Veriler!A$1:E$8,5,FALSE),"UYGUNDUR","KESİT AKIMI TAŞIYAMIYOR")</f>
        <v>UYGUNDUR</v>
      </c>
    </row>
    <row r="29" spans="1:16">
      <c r="A29" s="22">
        <v>56</v>
      </c>
      <c r="B29" s="21">
        <v>56</v>
      </c>
      <c r="C29" s="21">
        <v>40</v>
      </c>
      <c r="D29" s="21">
        <v>1</v>
      </c>
      <c r="E29" s="23">
        <v>45</v>
      </c>
      <c r="F29" s="21">
        <f t="shared" si="1"/>
        <v>1800</v>
      </c>
      <c r="G29" s="21">
        <f>0.5*(F29+F30)</f>
        <v>1350</v>
      </c>
      <c r="H29" s="21">
        <f t="shared" si="0"/>
        <v>2.0511127984368285</v>
      </c>
      <c r="I29" s="20"/>
      <c r="J29" s="21"/>
      <c r="K29" s="20"/>
      <c r="L29" s="21"/>
      <c r="M29" s="34">
        <f>IF(L29&gt;Veriler!$D$1,IF(L29&gt;Veriler!$D$2,IF(L29&gt;Veriler!$D$3,IF(L29&gt;Veriler!$D$4,IF(L29&gt;Veriler!$D$5,IF(L29&gt;Veriler!$D$6,IF(L29&gt;Veriler!$D$7,IF(L29&gt;Veriler!$D$8,"ders sorumlusuna başvur",Veriler!$A$8),Veriler!$A$7),Veriler!$A$6),Veriler!$A$5),Veriler!$A$4),Veriler!$A$3),Veriler!$A$2),Veriler!$A$1)</f>
        <v>1</v>
      </c>
      <c r="N29" s="34">
        <v>1</v>
      </c>
      <c r="O29" s="34" t="str">
        <f>VLOOKUP(N29,Veriler!A$1:C$8,2,FALSE)</f>
        <v>5 x Rose</v>
      </c>
      <c r="P29" s="35" t="str">
        <f>IF(I29&lt;VLOOKUP(N29,Veriler!A$1:E$8,5,FALSE),"UYGUNDUR","KESİT AKIMI TAŞIYAMIYOR")</f>
        <v>UYGUNDUR</v>
      </c>
    </row>
    <row r="30" spans="1:16">
      <c r="A30" s="22">
        <v>57</v>
      </c>
      <c r="B30" s="21">
        <v>57</v>
      </c>
      <c r="C30" s="21">
        <v>20</v>
      </c>
      <c r="D30" s="21">
        <v>1</v>
      </c>
      <c r="E30" s="23">
        <v>45</v>
      </c>
      <c r="F30" s="21">
        <f t="shared" si="1"/>
        <v>900</v>
      </c>
      <c r="G30" s="21">
        <f>0.5*(F30+F31)</f>
        <v>1125</v>
      </c>
      <c r="H30" s="21">
        <f t="shared" si="0"/>
        <v>1.7092606653640239</v>
      </c>
      <c r="I30" s="21"/>
      <c r="J30" s="21"/>
      <c r="K30" s="21"/>
      <c r="L30" s="21"/>
      <c r="M30" s="34">
        <f>IF(L30&gt;Veriler!$D$1,IF(L30&gt;Veriler!$D$2,IF(L30&gt;Veriler!$D$3,IF(L30&gt;Veriler!$D$4,IF(L30&gt;Veriler!$D$5,IF(L30&gt;Veriler!$D$6,IF(L30&gt;Veriler!$D$7,IF(L30&gt;Veriler!$D$8,"ders sorumlusuna başvur",Veriler!$A$8),Veriler!$A$7),Veriler!$A$6),Veriler!$A$5),Veriler!$A$4),Veriler!$A$3),Veriler!$A$2),Veriler!$A$1)</f>
        <v>1</v>
      </c>
      <c r="N30" s="34">
        <v>1</v>
      </c>
      <c r="O30" s="34" t="str">
        <f>VLOOKUP(N30,Veriler!A$1:C$8,2,FALSE)</f>
        <v>5 x Rose</v>
      </c>
      <c r="P30" s="35" t="str">
        <f>IF(I30&lt;VLOOKUP(N30,Veriler!A$1:E$8,5,FALSE),"UYGUNDUR","KESİT AKIMI TAŞIYAMIYOR")</f>
        <v>UYGUNDUR</v>
      </c>
    </row>
    <row r="31" spans="1:16">
      <c r="A31" s="22">
        <v>58</v>
      </c>
      <c r="B31" s="21">
        <v>58</v>
      </c>
      <c r="C31" s="21">
        <v>30</v>
      </c>
      <c r="D31" s="21">
        <v>1</v>
      </c>
      <c r="E31" s="23">
        <v>45</v>
      </c>
      <c r="F31" s="21">
        <f t="shared" si="1"/>
        <v>1350</v>
      </c>
      <c r="G31" s="21">
        <f>0.5*(F31)</f>
        <v>675</v>
      </c>
      <c r="H31" s="21">
        <f t="shared" si="0"/>
        <v>1.0255563992184142</v>
      </c>
      <c r="I31" s="21"/>
      <c r="J31" s="21"/>
      <c r="K31" s="21"/>
      <c r="L31" s="21"/>
      <c r="M31" s="34">
        <f>IF(L31&gt;Veriler!$D$1,IF(L31&gt;Veriler!$D$2,IF(L31&gt;Veriler!$D$3,IF(L31&gt;Veriler!$D$4,IF(L31&gt;Veriler!$D$5,IF(L31&gt;Veriler!$D$6,IF(L31&gt;Veriler!$D$7,IF(L31&gt;Veriler!$D$8,"ders sorumlusuna başvur",Veriler!$A$8),Veriler!$A$7),Veriler!$A$6),Veriler!$A$5),Veriler!$A$4),Veriler!$A$3),Veriler!$A$2),Veriler!$A$1)</f>
        <v>1</v>
      </c>
      <c r="N31" s="34">
        <v>1</v>
      </c>
      <c r="O31" s="34" t="str">
        <f>VLOOKUP(N31,Veriler!A$1:C$8,2,FALSE)</f>
        <v>5 x Rose</v>
      </c>
      <c r="P31" s="35" t="str">
        <f>IF(I31&lt;VLOOKUP(N31,Veriler!A$1:E$8,5,FALSE),"UYGUNDUR","KESİT AKIMI TAŞIYAMIYOR")</f>
        <v>UYGUNDUR</v>
      </c>
    </row>
    <row r="32" spans="1:16" ht="13.05" customHeight="1">
      <c r="A32" s="24">
        <v>59</v>
      </c>
      <c r="B32" s="20">
        <v>59</v>
      </c>
      <c r="C32" s="25">
        <v>40</v>
      </c>
      <c r="D32" s="21">
        <v>1</v>
      </c>
      <c r="E32" s="23">
        <v>45</v>
      </c>
      <c r="F32" s="20">
        <f t="shared" si="1"/>
        <v>1800</v>
      </c>
      <c r="G32" s="20">
        <f>0.5*(F32+F33)</f>
        <v>1642.5</v>
      </c>
      <c r="H32" s="21">
        <f t="shared" si="0"/>
        <v>2.4955205714314745</v>
      </c>
      <c r="I32" s="20">
        <f>H32+I33</f>
        <v>41.432478528550284</v>
      </c>
      <c r="J32" s="21">
        <f>I32*C32</f>
        <v>1657.2991411420114</v>
      </c>
      <c r="K32" s="20">
        <f>J32+K33</f>
        <v>8166.5739774569229</v>
      </c>
      <c r="L32" s="21">
        <f>K32/(8*35)</f>
        <v>29.166335633774725</v>
      </c>
      <c r="M32" s="34">
        <f>IF(L32&gt;Veriler!$D$1,IF(L32&gt;Veriler!$D$2,IF(L32&gt;Veriler!$D$3,IF(L32&gt;Veriler!$D$4,IF(L32&gt;Veriler!$D$5,IF(L32&gt;Veriler!$D$6,IF(L32&gt;Veriler!$D$7,IF(L32&gt;Veriler!$D$8,"ders sorumlusuna başvur",Veriler!$A$8),Veriler!$A$7),Veriler!$A$6),Veriler!$A$5),Veriler!$A$4),Veriler!$A$3),Veriler!$A$2),Veriler!$A$1)</f>
        <v>3</v>
      </c>
      <c r="N32" s="34">
        <v>1</v>
      </c>
      <c r="O32" s="34" t="str">
        <f>VLOOKUP(N32,Veriler!A$1:C$8,2,FALSE)</f>
        <v>5 x Rose</v>
      </c>
      <c r="P32" s="35" t="s">
        <v>19</v>
      </c>
    </row>
    <row r="33" spans="1:16">
      <c r="A33" s="24">
        <v>60</v>
      </c>
      <c r="B33" s="20">
        <v>60</v>
      </c>
      <c r="C33" s="25">
        <v>33</v>
      </c>
      <c r="D33" s="21">
        <v>1</v>
      </c>
      <c r="E33" s="23">
        <v>45</v>
      </c>
      <c r="F33" s="20">
        <f t="shared" si="1"/>
        <v>1485</v>
      </c>
      <c r="G33" s="20">
        <f>0.5*(F33+F34+F39)</f>
        <v>2430</v>
      </c>
      <c r="H33" s="21">
        <f t="shared" si="0"/>
        <v>3.6920030371862915</v>
      </c>
      <c r="I33" s="20">
        <f>H33+H34+H35+H36+H37+H38+I39</f>
        <v>38.936957957118807</v>
      </c>
      <c r="J33" s="21">
        <f>I33*C33</f>
        <v>1284.9196125849207</v>
      </c>
      <c r="K33" s="20">
        <f>J33+K39</f>
        <v>6509.2748363149112</v>
      </c>
      <c r="L33" s="21">
        <f>K33/(8*35)</f>
        <v>23.24741012969611</v>
      </c>
      <c r="M33" s="34">
        <f>IF(L33&gt;Veriler!$D$1,IF(L33&gt;Veriler!$D$2,IF(L33&gt;Veriler!$D$3,IF(L33&gt;Veriler!$D$4,IF(L33&gt;Veriler!$D$5,IF(L33&gt;Veriler!$D$6,IF(L33&gt;Veriler!$D$7,IF(L33&gt;Veriler!$D$8,"ders sorumlusuna başvur",Veriler!$A$8),Veriler!$A$7),Veriler!$A$6),Veriler!$A$5),Veriler!$A$4),Veriler!$A$3),Veriler!$A$2),Veriler!$A$1)</f>
        <v>2</v>
      </c>
      <c r="N33" s="34">
        <v>1</v>
      </c>
      <c r="O33" s="34" t="str">
        <f>VLOOKUP(N33,Veriler!A$1:C$8,2,FALSE)</f>
        <v>5 x Rose</v>
      </c>
      <c r="P33" s="35" t="str">
        <f>IF(I33&lt;VLOOKUP(N33,Veriler!A$1:E$8,5,FALSE),"UYGUNDUR","KESİT AKIMI TAŞIYAMIYOR")</f>
        <v>UYGUNDUR</v>
      </c>
    </row>
    <row r="34" spans="1:16">
      <c r="A34" s="24">
        <v>61</v>
      </c>
      <c r="B34" s="20">
        <v>61</v>
      </c>
      <c r="C34" s="25">
        <v>34</v>
      </c>
      <c r="D34" s="21">
        <v>1</v>
      </c>
      <c r="E34" s="23">
        <v>45</v>
      </c>
      <c r="F34" s="20">
        <f t="shared" si="1"/>
        <v>1530</v>
      </c>
      <c r="G34" s="20">
        <f>0.5*(F34+F35)</f>
        <v>1530</v>
      </c>
      <c r="H34" s="21">
        <f t="shared" si="0"/>
        <v>2.3245945048950722</v>
      </c>
      <c r="I34" s="20"/>
      <c r="J34" s="21"/>
      <c r="K34" s="20"/>
      <c r="L34" s="21"/>
      <c r="M34" s="34">
        <f>IF(L34&gt;Veriler!$D$1,IF(L34&gt;Veriler!$D$2,IF(L34&gt;Veriler!$D$3,IF(L34&gt;Veriler!$D$4,IF(L34&gt;Veriler!$D$5,IF(L34&gt;Veriler!$D$6,IF(L34&gt;Veriler!$D$7,IF(L34&gt;Veriler!$D$8,"ders sorumlusuna başvur",Veriler!$A$8),Veriler!$A$7),Veriler!$A$6),Veriler!$A$5),Veriler!$A$4),Veriler!$A$3),Veriler!$A$2),Veriler!$A$1)</f>
        <v>1</v>
      </c>
      <c r="N34" s="34">
        <v>1</v>
      </c>
      <c r="O34" s="34" t="str">
        <f>VLOOKUP(N34,Veriler!A$1:C$8,2,FALSE)</f>
        <v>5 x Rose</v>
      </c>
      <c r="P34" s="35" t="str">
        <f>IF(I34&lt;VLOOKUP(N34,Veriler!A$1:E$8,5,FALSE),"UYGUNDUR","KESİT AKIMI TAŞIYAMIYOR")</f>
        <v>UYGUNDUR</v>
      </c>
    </row>
    <row r="35" spans="1:16">
      <c r="A35" s="24">
        <v>62</v>
      </c>
      <c r="B35" s="20">
        <v>62</v>
      </c>
      <c r="C35" s="25">
        <v>34</v>
      </c>
      <c r="D35" s="21">
        <v>1</v>
      </c>
      <c r="E35" s="23">
        <v>45</v>
      </c>
      <c r="F35" s="20">
        <f t="shared" si="1"/>
        <v>1530</v>
      </c>
      <c r="G35" s="20">
        <f>0.5*(F35+F36+F37)</f>
        <v>2002.5</v>
      </c>
      <c r="H35" s="21">
        <f t="shared" si="0"/>
        <v>3.0424839843479625</v>
      </c>
      <c r="I35" s="20"/>
      <c r="J35" s="21"/>
      <c r="K35" s="20"/>
      <c r="L35" s="21"/>
      <c r="M35" s="34">
        <f>IF(L35&gt;Veriler!$D$1,IF(L35&gt;Veriler!$D$2,IF(L35&gt;Veriler!$D$3,IF(L35&gt;Veriler!$D$4,IF(L35&gt;Veriler!$D$5,IF(L35&gt;Veriler!$D$6,IF(L35&gt;Veriler!$D$7,IF(L35&gt;Veriler!$D$8,"ders sorumlusuna başvur",Veriler!$A$8),Veriler!$A$7),Veriler!$A$6),Veriler!$A$5),Veriler!$A$4),Veriler!$A$3),Veriler!$A$2),Veriler!$A$1)</f>
        <v>1</v>
      </c>
      <c r="N35" s="34">
        <v>1</v>
      </c>
      <c r="O35" s="34" t="str">
        <f>VLOOKUP(N35,Veriler!A$1:C$8,2,FALSE)</f>
        <v>5 x Rose</v>
      </c>
      <c r="P35" s="35" t="str">
        <f>IF(I35&lt;VLOOKUP(N35,Veriler!A$1:E$8,5,FALSE),"UYGUNDUR","KESİT AKIMI TAŞIYAMIYOR")</f>
        <v>UYGUNDUR</v>
      </c>
    </row>
    <row r="36" spans="1:16">
      <c r="A36" s="24">
        <v>63</v>
      </c>
      <c r="B36" s="20">
        <v>63</v>
      </c>
      <c r="C36" s="25">
        <v>20</v>
      </c>
      <c r="D36" s="21">
        <v>1</v>
      </c>
      <c r="E36" s="23">
        <v>45</v>
      </c>
      <c r="F36" s="20">
        <f t="shared" si="1"/>
        <v>900</v>
      </c>
      <c r="G36" s="20">
        <f>0.5*(F36)</f>
        <v>450</v>
      </c>
      <c r="H36" s="21">
        <f t="shared" si="0"/>
        <v>0.68370426614560953</v>
      </c>
      <c r="I36" s="20"/>
      <c r="J36" s="21"/>
      <c r="K36" s="20"/>
      <c r="L36" s="21"/>
      <c r="M36" s="34">
        <f>IF(L36&gt;Veriler!$D$1,IF(L36&gt;Veriler!$D$2,IF(L36&gt;Veriler!$D$3,IF(L36&gt;Veriler!$D$4,IF(L36&gt;Veriler!$D$5,IF(L36&gt;Veriler!$D$6,IF(L36&gt;Veriler!$D$7,IF(L36&gt;Veriler!$D$8,"ders sorumlusuna başvur",Veriler!$A$8),Veriler!$A$7),Veriler!$A$6),Veriler!$A$5),Veriler!$A$4),Veriler!$A$3),Veriler!$A$2),Veriler!$A$1)</f>
        <v>1</v>
      </c>
      <c r="N36" s="34">
        <v>1</v>
      </c>
      <c r="O36" s="34" t="str">
        <f>VLOOKUP(N36,Veriler!A$1:C$8,2,FALSE)</f>
        <v>5 x Rose</v>
      </c>
      <c r="P36" s="35" t="str">
        <f>IF(I36&lt;VLOOKUP(N36,Veriler!A$1:E$8,5,FALSE),"UYGUNDUR","KESİT AKIMI TAŞIYAMIYOR")</f>
        <v>UYGUNDUR</v>
      </c>
    </row>
    <row r="37" spans="1:16">
      <c r="A37" s="24">
        <v>64</v>
      </c>
      <c r="B37" s="20">
        <v>64</v>
      </c>
      <c r="C37" s="25">
        <v>35</v>
      </c>
      <c r="D37" s="21">
        <v>1</v>
      </c>
      <c r="E37" s="23">
        <v>45</v>
      </c>
      <c r="F37" s="20">
        <f t="shared" si="1"/>
        <v>1575</v>
      </c>
      <c r="G37" s="20">
        <f>0.5*(F37+F38)</f>
        <v>1575</v>
      </c>
      <c r="H37" s="21">
        <f t="shared" si="0"/>
        <v>2.3929649315096335</v>
      </c>
      <c r="I37" s="20"/>
      <c r="J37" s="21"/>
      <c r="K37" s="20"/>
      <c r="L37" s="21"/>
      <c r="M37" s="34">
        <f>IF(L37&gt;Veriler!$D$1,IF(L37&gt;Veriler!$D$2,IF(L37&gt;Veriler!$D$3,IF(L37&gt;Veriler!$D$4,IF(L37&gt;Veriler!$D$5,IF(L37&gt;Veriler!$D$6,IF(L37&gt;Veriler!$D$7,IF(L37&gt;Veriler!$D$8,"ders sorumlusuna başvur",Veriler!$A$8),Veriler!$A$7),Veriler!$A$6),Veriler!$A$5),Veriler!$A$4),Veriler!$A$3),Veriler!$A$2),Veriler!$A$1)</f>
        <v>1</v>
      </c>
      <c r="N37" s="34">
        <v>1</v>
      </c>
      <c r="O37" s="34" t="str">
        <f>VLOOKUP(N37,Veriler!A$1:C$8,2,FALSE)</f>
        <v>5 x Rose</v>
      </c>
      <c r="P37" s="35" t="str">
        <f>IF(I37&lt;VLOOKUP(N37,Veriler!A$1:E$8,5,FALSE),"UYGUNDUR","KESİT AKIMI TAŞIYAMIYOR")</f>
        <v>UYGUNDUR</v>
      </c>
    </row>
    <row r="38" spans="1:16">
      <c r="A38" s="24">
        <v>65</v>
      </c>
      <c r="B38" s="20">
        <v>65</v>
      </c>
      <c r="C38" s="25">
        <v>35</v>
      </c>
      <c r="D38" s="21">
        <v>1</v>
      </c>
      <c r="E38" s="23">
        <v>45</v>
      </c>
      <c r="F38" s="20">
        <f t="shared" si="1"/>
        <v>1575</v>
      </c>
      <c r="G38" s="20">
        <f>0.5*(F38)</f>
        <v>787.5</v>
      </c>
      <c r="H38" s="21">
        <f t="shared" si="0"/>
        <v>1.1964824657548168</v>
      </c>
      <c r="I38" s="20"/>
      <c r="J38" s="21"/>
      <c r="K38" s="20"/>
      <c r="L38" s="21"/>
      <c r="M38" s="34">
        <f>IF(L38&gt;Veriler!$D$1,IF(L38&gt;Veriler!$D$2,IF(L38&gt;Veriler!$D$3,IF(L38&gt;Veriler!$D$4,IF(L38&gt;Veriler!$D$5,IF(L38&gt;Veriler!$D$6,IF(L38&gt;Veriler!$D$7,IF(L38&gt;Veriler!$D$8,"ders sorumlusuna başvur",Veriler!$A$8),Veriler!$A$7),Veriler!$A$6),Veriler!$A$5),Veriler!$A$4),Veriler!$A$3),Veriler!$A$2),Veriler!$A$1)</f>
        <v>1</v>
      </c>
      <c r="N38" s="34">
        <v>1</v>
      </c>
      <c r="O38" s="34" t="str">
        <f>VLOOKUP(N38,Veriler!A$1:C$8,2,FALSE)</f>
        <v>5 x Rose</v>
      </c>
      <c r="P38" s="35" t="str">
        <f>IF(I38&lt;VLOOKUP(N38,Veriler!A$1:E$8,5,FALSE),"UYGUNDUR","KESİT AKIMI TAŞIYAMIYOR")</f>
        <v>UYGUNDUR</v>
      </c>
    </row>
    <row r="39" spans="1:16">
      <c r="A39" s="24">
        <v>66</v>
      </c>
      <c r="B39" s="20">
        <v>66</v>
      </c>
      <c r="C39" s="25">
        <v>41</v>
      </c>
      <c r="D39" s="21">
        <v>1</v>
      </c>
      <c r="E39" s="23">
        <v>45</v>
      </c>
      <c r="F39" s="20">
        <f t="shared" si="1"/>
        <v>1845</v>
      </c>
      <c r="G39" s="20">
        <f>0.5*(F39+F40)</f>
        <v>1845</v>
      </c>
      <c r="H39" s="21">
        <f t="shared" si="0"/>
        <v>2.8031874911969989</v>
      </c>
      <c r="I39" s="20">
        <f t="shared" ref="I39:I46" si="2">H39+I40</f>
        <v>25.604724767279421</v>
      </c>
      <c r="J39" s="21">
        <f t="shared" ref="J39:J47" si="3">I39*C39</f>
        <v>1049.7937154584563</v>
      </c>
      <c r="K39" s="20">
        <f t="shared" ref="K39:K46" si="4">J39+K40</f>
        <v>5224.3552237299909</v>
      </c>
      <c r="L39" s="21">
        <f t="shared" ref="L39:L47" si="5">K39/(8*35)</f>
        <v>18.658411513321397</v>
      </c>
      <c r="M39" s="34">
        <f>IF(L39&gt;Veriler!$D$1,IF(L39&gt;Veriler!$D$2,IF(L39&gt;Veriler!$D$3,IF(L39&gt;Veriler!$D$4,IF(L39&gt;Veriler!$D$5,IF(L39&gt;Veriler!$D$6,IF(L39&gt;Veriler!$D$7,IF(L39&gt;Veriler!$D$8,"ders sorumlusuna başvur",Veriler!$A$8),Veriler!$A$7),Veriler!$A$6),Veriler!$A$5),Veriler!$A$4),Veriler!$A$3),Veriler!$A$2),Veriler!$A$1)</f>
        <v>1</v>
      </c>
      <c r="N39" s="34">
        <v>7</v>
      </c>
      <c r="O39" s="34" t="str">
        <f>VLOOKUP(N39,Veriler!A$1:C$8,2,FALSE)</f>
        <v>3xPhlox + Rose/Poppy</v>
      </c>
      <c r="P39" s="35" t="str">
        <f>IF(I39&lt;VLOOKUP(N39,Veriler!A$1:E$8,5,FALSE),"UYGUNDUR","KESİT AKIMI TAŞIYAMIYOR")</f>
        <v>UYGUNDUR</v>
      </c>
    </row>
    <row r="40" spans="1:16">
      <c r="A40" s="24">
        <v>67</v>
      </c>
      <c r="B40" s="20">
        <v>67</v>
      </c>
      <c r="C40" s="25">
        <v>41</v>
      </c>
      <c r="D40" s="21">
        <v>1</v>
      </c>
      <c r="E40" s="23">
        <v>45</v>
      </c>
      <c r="F40" s="20">
        <f t="shared" si="1"/>
        <v>1845</v>
      </c>
      <c r="G40" s="20">
        <f>0.5*(F40+F41)</f>
        <v>1665</v>
      </c>
      <c r="H40" s="21">
        <f t="shared" si="0"/>
        <v>2.5297057847387552</v>
      </c>
      <c r="I40" s="20">
        <f t="shared" si="2"/>
        <v>22.801537276082424</v>
      </c>
      <c r="J40" s="21">
        <f t="shared" si="3"/>
        <v>934.8630283193794</v>
      </c>
      <c r="K40" s="20">
        <f t="shared" si="4"/>
        <v>4174.5615082715349</v>
      </c>
      <c r="L40" s="21">
        <f t="shared" si="5"/>
        <v>14.909148243826911</v>
      </c>
      <c r="M40" s="34">
        <f>IF(L40&gt;Veriler!$D$1,IF(L40&gt;Veriler!$D$2,IF(L40&gt;Veriler!$D$3,IF(L40&gt;Veriler!$D$4,IF(L40&gt;Veriler!$D$5,IF(L40&gt;Veriler!$D$6,IF(L40&gt;Veriler!$D$7,IF(L40&gt;Veriler!$D$8,"ders sorumlusuna başvur",Veriler!$A$8),Veriler!$A$7),Veriler!$A$6),Veriler!$A$5),Veriler!$A$4),Veriler!$A$3),Veriler!$A$2),Veriler!$A$1)</f>
        <v>1</v>
      </c>
      <c r="N40" s="34">
        <v>7</v>
      </c>
      <c r="O40" s="34" t="str">
        <f>VLOOKUP(N40,Veriler!A$1:C$8,2,FALSE)</f>
        <v>3xPhlox + Rose/Poppy</v>
      </c>
      <c r="P40" s="35" t="str">
        <f>IF(I40&lt;VLOOKUP(N40,Veriler!A$1:E$8,5,FALSE),"UYGUNDUR","KESİT AKIMI TAŞIYAMIYOR")</f>
        <v>UYGUNDUR</v>
      </c>
    </row>
    <row r="41" spans="1:16">
      <c r="A41" s="24">
        <v>68</v>
      </c>
      <c r="B41" s="20">
        <v>68</v>
      </c>
      <c r="C41" s="25">
        <v>33</v>
      </c>
      <c r="D41" s="21">
        <v>1</v>
      </c>
      <c r="E41" s="23">
        <v>45</v>
      </c>
      <c r="F41" s="20">
        <f t="shared" si="1"/>
        <v>1485</v>
      </c>
      <c r="G41" s="20">
        <f>0.5*(F41+F42+F43)</f>
        <v>2542.5</v>
      </c>
      <c r="H41" s="21">
        <f t="shared" si="0"/>
        <v>3.8629291037226938</v>
      </c>
      <c r="I41" s="20">
        <f t="shared" si="2"/>
        <v>20.271831491343669</v>
      </c>
      <c r="J41" s="21">
        <f t="shared" si="3"/>
        <v>668.97043921434101</v>
      </c>
      <c r="K41" s="20">
        <f t="shared" si="4"/>
        <v>3239.6984799521551</v>
      </c>
      <c r="L41" s="21">
        <f t="shared" si="5"/>
        <v>11.570351714114841</v>
      </c>
      <c r="M41" s="34">
        <f>IF(L41&gt;Veriler!$D$1,IF(L41&gt;Veriler!$D$2,IF(L41&gt;Veriler!$D$3,IF(L41&gt;Veriler!$D$4,IF(L41&gt;Veriler!$D$5,IF(L41&gt;Veriler!$D$6,IF(L41&gt;Veriler!$D$7,IF(L41&gt;Veriler!$D$8,"ders sorumlusuna başvur",Veriler!$A$8),Veriler!$A$7),Veriler!$A$6),Veriler!$A$5),Veriler!$A$4),Veriler!$A$3),Veriler!$A$2),Veriler!$A$1)</f>
        <v>1</v>
      </c>
      <c r="N41" s="34">
        <v>1</v>
      </c>
      <c r="O41" s="34" t="str">
        <f>VLOOKUP(N41,Veriler!A$1:C$8,2,FALSE)</f>
        <v>5 x Rose</v>
      </c>
      <c r="P41" s="35" t="str">
        <f>IF(I41&lt;VLOOKUP(N41,Veriler!A$1:E$8,5,FALSE),"UYGUNDUR","KESİT AKIMI TAŞIYAMIYOR")</f>
        <v>UYGUNDUR</v>
      </c>
    </row>
    <row r="42" spans="1:16">
      <c r="A42" s="24">
        <v>69</v>
      </c>
      <c r="B42" s="20">
        <v>69</v>
      </c>
      <c r="C42" s="25">
        <v>40</v>
      </c>
      <c r="D42" s="21">
        <v>1</v>
      </c>
      <c r="E42" s="23">
        <v>45</v>
      </c>
      <c r="F42" s="20">
        <f t="shared" si="1"/>
        <v>1800</v>
      </c>
      <c r="G42" s="20">
        <f>0.5*(F42)</f>
        <v>900</v>
      </c>
      <c r="H42" s="21">
        <f t="shared" si="0"/>
        <v>1.3674085322912191</v>
      </c>
      <c r="I42" s="20">
        <f t="shared" si="2"/>
        <v>16.408902387620973</v>
      </c>
      <c r="J42" s="21">
        <f t="shared" si="3"/>
        <v>656.35609550483889</v>
      </c>
      <c r="K42" s="20">
        <f t="shared" si="4"/>
        <v>2570.7280407378144</v>
      </c>
      <c r="L42" s="21">
        <f t="shared" si="5"/>
        <v>9.1811715740636224</v>
      </c>
      <c r="M42" s="34">
        <f>IF(L42&gt;Veriler!$D$1,IF(L42&gt;Veriler!$D$2,IF(L42&gt;Veriler!$D$3,IF(L42&gt;Veriler!$D$4,IF(L42&gt;Veriler!$D$5,IF(L42&gt;Veriler!$D$6,IF(L42&gt;Veriler!$D$7,IF(L42&gt;Veriler!$D$8,"ders sorumlusuna başvur",Veriler!$A$8),Veriler!$A$7),Veriler!$A$6),Veriler!$A$5),Veriler!$A$4),Veriler!$A$3),Veriler!$A$2),Veriler!$A$1)</f>
        <v>1</v>
      </c>
      <c r="N42" s="34">
        <v>1</v>
      </c>
      <c r="O42" s="34" t="str">
        <f>VLOOKUP(N42,Veriler!A$1:C$8,2,FALSE)</f>
        <v>5 x Rose</v>
      </c>
      <c r="P42" s="35" t="str">
        <f>IF(I42&lt;VLOOKUP(N42,Veriler!A$1:E$8,5,FALSE),"UYGUNDUR","KESİT AKIMI TAŞIYAMIYOR")</f>
        <v>UYGUNDUR</v>
      </c>
    </row>
    <row r="43" spans="1:16">
      <c r="A43" s="24">
        <v>70</v>
      </c>
      <c r="B43" s="20">
        <v>70</v>
      </c>
      <c r="C43" s="25">
        <v>40</v>
      </c>
      <c r="D43" s="21">
        <v>1</v>
      </c>
      <c r="E43" s="23">
        <v>45</v>
      </c>
      <c r="F43" s="20">
        <f t="shared" si="1"/>
        <v>1800</v>
      </c>
      <c r="G43" s="20">
        <f>0.5*(F43+F44)</f>
        <v>1800</v>
      </c>
      <c r="H43" s="21">
        <f t="shared" si="0"/>
        <v>2.7348170645824381</v>
      </c>
      <c r="I43" s="20">
        <f t="shared" si="2"/>
        <v>15.041493855329755</v>
      </c>
      <c r="J43" s="21">
        <f t="shared" si="3"/>
        <v>601.65975421319013</v>
      </c>
      <c r="K43" s="20">
        <f t="shared" si="4"/>
        <v>1914.3719452329753</v>
      </c>
      <c r="L43" s="21">
        <f t="shared" si="5"/>
        <v>6.8370426615463407</v>
      </c>
      <c r="M43" s="34">
        <f>IF(L43&gt;Veriler!$D$1,IF(L43&gt;Veriler!$D$2,IF(L43&gt;Veriler!$D$3,IF(L43&gt;Veriler!$D$4,IF(L43&gt;Veriler!$D$5,IF(L43&gt;Veriler!$D$6,IF(L43&gt;Veriler!$D$7,IF(L43&gt;Veriler!$D$8,"ders sorumlusuna başvur",Veriler!$A$8),Veriler!$A$7),Veriler!$A$6),Veriler!$A$5),Veriler!$A$4),Veriler!$A$3),Veriler!$A$2),Veriler!$A$1)</f>
        <v>1</v>
      </c>
      <c r="N43" s="34">
        <v>1</v>
      </c>
      <c r="O43" s="34" t="str">
        <f>VLOOKUP(N43,Veriler!A$1:C$8,2,FALSE)</f>
        <v>5 x Rose</v>
      </c>
      <c r="P43" s="35" t="str">
        <f>IF(I43&lt;VLOOKUP(N43,Veriler!A$1:E$8,5,FALSE),"UYGUNDUR","KESİT AKIMI TAŞIYAMIYOR")</f>
        <v>UYGUNDUR</v>
      </c>
    </row>
    <row r="44" spans="1:16">
      <c r="A44" s="24">
        <v>71</v>
      </c>
      <c r="B44" s="20">
        <v>71</v>
      </c>
      <c r="C44" s="25">
        <v>40</v>
      </c>
      <c r="D44" s="21">
        <v>1</v>
      </c>
      <c r="E44" s="23">
        <v>45</v>
      </c>
      <c r="F44" s="20">
        <f t="shared" si="1"/>
        <v>1800</v>
      </c>
      <c r="G44" s="20">
        <f>0.5*(F44+F45)</f>
        <v>1800</v>
      </c>
      <c r="H44" s="21">
        <f t="shared" si="0"/>
        <v>2.7348170645824381</v>
      </c>
      <c r="I44" s="20">
        <f t="shared" si="2"/>
        <v>12.306676790747316</v>
      </c>
      <c r="J44" s="21">
        <f t="shared" si="3"/>
        <v>492.26707162989265</v>
      </c>
      <c r="K44" s="20">
        <f t="shared" si="4"/>
        <v>1312.7121910197852</v>
      </c>
      <c r="L44" s="21">
        <f t="shared" si="5"/>
        <v>4.6882578250706617</v>
      </c>
      <c r="M44" s="34">
        <f>IF(L44&gt;Veriler!$D$1,IF(L44&gt;Veriler!$D$2,IF(L44&gt;Veriler!$D$3,IF(L44&gt;Veriler!$D$4,IF(L44&gt;Veriler!$D$5,IF(L44&gt;Veriler!$D$6,IF(L44&gt;Veriler!$D$7,IF(L44&gt;Veriler!$D$8,"ders sorumlusuna başvur",Veriler!$A$8),Veriler!$A$7),Veriler!$A$6),Veriler!$A$5),Veriler!$A$4),Veriler!$A$3),Veriler!$A$2),Veriler!$A$1)</f>
        <v>1</v>
      </c>
      <c r="N44" s="34">
        <v>1</v>
      </c>
      <c r="O44" s="34" t="str">
        <f>VLOOKUP(N44,Veriler!A$1:C$8,2,FALSE)</f>
        <v>5 x Rose</v>
      </c>
      <c r="P44" s="35" t="str">
        <f>IF(I44&lt;VLOOKUP(N44,Veriler!A$1:E$8,5,FALSE),"UYGUNDUR","KESİT AKIMI TAŞIYAMIYOR")</f>
        <v>UYGUNDUR</v>
      </c>
    </row>
    <row r="45" spans="1:16">
      <c r="A45" s="24">
        <v>72</v>
      </c>
      <c r="B45" s="20">
        <v>72</v>
      </c>
      <c r="C45" s="25">
        <v>40</v>
      </c>
      <c r="D45" s="21">
        <v>1</v>
      </c>
      <c r="E45" s="23">
        <v>45</v>
      </c>
      <c r="F45" s="20">
        <f t="shared" si="1"/>
        <v>1800</v>
      </c>
      <c r="G45" s="20">
        <f>0.5*(F45+F46)</f>
        <v>1800</v>
      </c>
      <c r="H45" s="21">
        <f t="shared" si="0"/>
        <v>2.7348170645824381</v>
      </c>
      <c r="I45" s="20">
        <f t="shared" si="2"/>
        <v>9.5718597261648775</v>
      </c>
      <c r="J45" s="21">
        <f t="shared" si="3"/>
        <v>382.87438904659507</v>
      </c>
      <c r="K45" s="20">
        <f t="shared" si="4"/>
        <v>820.44511938989262</v>
      </c>
      <c r="L45" s="21">
        <f t="shared" si="5"/>
        <v>2.9301611406781878</v>
      </c>
      <c r="M45" s="34">
        <f>IF(L45&gt;Veriler!$D$1,IF(L45&gt;Veriler!$D$2,IF(L45&gt;Veriler!$D$3,IF(L45&gt;Veriler!$D$4,IF(L45&gt;Veriler!$D$5,IF(L45&gt;Veriler!$D$6,IF(L45&gt;Veriler!$D$7,IF(L45&gt;Veriler!$D$8,"ders sorumlusuna başvur",Veriler!$A$8),Veriler!$A$7),Veriler!$A$6),Veriler!$A$5),Veriler!$A$4),Veriler!$A$3),Veriler!$A$2),Veriler!$A$1)</f>
        <v>1</v>
      </c>
      <c r="N45" s="34">
        <v>1</v>
      </c>
      <c r="O45" s="34" t="str">
        <f>VLOOKUP(N45,Veriler!A$1:C$8,2,FALSE)</f>
        <v>5 x Rose</v>
      </c>
      <c r="P45" s="35" t="str">
        <f>IF(I45&lt;VLOOKUP(N45,Veriler!A$1:E$8,5,FALSE),"UYGUNDUR","KESİT AKIMI TAŞIYAMIYOR")</f>
        <v>UYGUNDUR</v>
      </c>
    </row>
    <row r="46" spans="1:16">
      <c r="A46" s="24">
        <v>73</v>
      </c>
      <c r="B46" s="20">
        <v>73</v>
      </c>
      <c r="C46" s="25">
        <v>40</v>
      </c>
      <c r="D46" s="21">
        <v>1</v>
      </c>
      <c r="E46" s="23">
        <v>45</v>
      </c>
      <c r="F46" s="20">
        <f t="shared" si="1"/>
        <v>1800</v>
      </c>
      <c r="G46" s="20">
        <f>0.5*(F46+F47)</f>
        <v>1800</v>
      </c>
      <c r="H46" s="21">
        <f t="shared" si="0"/>
        <v>2.7348170645824381</v>
      </c>
      <c r="I46" s="20">
        <f t="shared" si="2"/>
        <v>6.8370426615824389</v>
      </c>
      <c r="J46" s="21">
        <f t="shared" si="3"/>
        <v>273.48170646329754</v>
      </c>
      <c r="K46" s="20">
        <f t="shared" si="4"/>
        <v>437.57073034329756</v>
      </c>
      <c r="L46" s="21">
        <f t="shared" si="5"/>
        <v>1.5627526083689198</v>
      </c>
      <c r="M46" s="34">
        <f>IF(L46&gt;Veriler!$D$1,IF(L46&gt;Veriler!$D$2,IF(L46&gt;Veriler!$D$3,IF(L46&gt;Veriler!$D$4,IF(L46&gt;Veriler!$D$5,IF(L46&gt;Veriler!$D$6,IF(L46&gt;Veriler!$D$7,IF(L46&gt;Veriler!$D$8,"ders sorumlusuna başvur",Veriler!$A$8),Veriler!$A$7),Veriler!$A$6),Veriler!$A$5),Veriler!$A$4),Veriler!$A$3),Veriler!$A$2),Veriler!$A$1)</f>
        <v>1</v>
      </c>
      <c r="N46" s="34">
        <v>1</v>
      </c>
      <c r="O46" s="34" t="str">
        <f>VLOOKUP(N46,Veriler!A$1:C$8,2,FALSE)</f>
        <v>5 x Rose</v>
      </c>
      <c r="P46" s="35" t="str">
        <f>IF(I46&lt;VLOOKUP(N46,Veriler!A$1:E$8,5,FALSE),"UYGUNDUR","KESİT AKIMI TAŞIYAMIYOR")</f>
        <v>UYGUNDUR</v>
      </c>
    </row>
    <row r="47" spans="1:16">
      <c r="A47" s="26">
        <v>74</v>
      </c>
      <c r="B47" s="27">
        <v>74</v>
      </c>
      <c r="C47" s="28">
        <v>40</v>
      </c>
      <c r="D47" s="21">
        <v>1</v>
      </c>
      <c r="E47" s="29">
        <v>45</v>
      </c>
      <c r="F47" s="27">
        <f t="shared" si="1"/>
        <v>1800</v>
      </c>
      <c r="G47" s="27">
        <f>0.5*(F47)</f>
        <v>900</v>
      </c>
      <c r="H47" s="30">
        <f t="shared" si="0"/>
        <v>1.3674085322912191</v>
      </c>
      <c r="I47" s="27">
        <v>4.1022255970000003</v>
      </c>
      <c r="J47" s="30">
        <f t="shared" si="3"/>
        <v>164.08902388000001</v>
      </c>
      <c r="K47" s="27">
        <f>J47</f>
        <v>164.08902388000001</v>
      </c>
      <c r="L47" s="30">
        <f t="shared" si="5"/>
        <v>0.58603222814285705</v>
      </c>
      <c r="M47" s="36">
        <f>IF(L47&gt;Veriler!$D$1,IF(L47&gt;Veriler!$D$2,IF(L47&gt;Veriler!$D$3,IF(L47&gt;Veriler!$D$4,IF(L47&gt;Veriler!$D$5,IF(L47&gt;Veriler!$D$6,IF(L47&gt;Veriler!$D$7,IF(L47&gt;Veriler!$D$8,"ders sorumlusuna başvur",Veriler!$A$8),Veriler!$A$7),Veriler!$A$6),Veriler!$A$5),Veriler!$A$4),Veriler!$A$3),Veriler!$A$2),Veriler!$A$1)</f>
        <v>1</v>
      </c>
      <c r="N47" s="36">
        <v>1</v>
      </c>
      <c r="O47" s="36" t="str">
        <f>VLOOKUP(N47,Veriler!A$1:C$8,2,FALSE)</f>
        <v>5 x Rose</v>
      </c>
      <c r="P47" s="37" t="str">
        <f>IF(I47&lt;VLOOKUP(N47,Veriler!A$1:E$8,5,FALSE),"UYGUNDUR","KESİT AKIMI TAŞIYAMIYOR")</f>
        <v>UYGUNDUR</v>
      </c>
    </row>
    <row r="48" spans="1:16" ht="14.4">
      <c r="E48" s="31"/>
      <c r="F48" s="31"/>
      <c r="G48" s="31"/>
      <c r="H48" s="31"/>
      <c r="I48" s="31"/>
      <c r="J48" s="31"/>
      <c r="K48" s="31"/>
      <c r="L48" s="31"/>
      <c r="M48" s="38"/>
      <c r="N48" s="38"/>
      <c r="O48" s="38"/>
      <c r="P48" s="38"/>
    </row>
    <row r="49" spans="13:16" ht="14.4">
      <c r="M49" s="38"/>
      <c r="N49" s="38"/>
      <c r="O49" s="38"/>
      <c r="P49" s="38"/>
    </row>
    <row r="50" spans="13:16" ht="14.4">
      <c r="M50" s="38"/>
      <c r="N50" s="38"/>
      <c r="O50" s="38"/>
      <c r="P50" s="38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AutoCAD.Drawing.24" shapeId="6145" r:id="rId3">
          <objectPr defaultSize="0" r:id="rId4">
            <anchor moveWithCells="1">
              <from>
                <xdr:col>0</xdr:col>
                <xdr:colOff>0</xdr:colOff>
                <xdr:row>47</xdr:row>
                <xdr:rowOff>129540</xdr:rowOff>
              </from>
              <to>
                <xdr:col>17</xdr:col>
                <xdr:colOff>7620</xdr:colOff>
                <xdr:row>84</xdr:row>
                <xdr:rowOff>76200</xdr:rowOff>
              </to>
            </anchor>
          </objectPr>
        </oleObject>
      </mc:Choice>
      <mc:Fallback>
        <oleObject progId="AutoCAD.Drawing.24" shapeId="6145" r:id="rId3"/>
      </mc:Fallback>
    </mc:AlternateContent>
  </oleObjec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A7" sqref="A7:XFD7"/>
    </sheetView>
  </sheetViews>
  <sheetFormatPr defaultRowHeight="13.8"/>
  <sheetData>
    <row r="1" spans="1:15" ht="26.4">
      <c r="A1" s="87" t="s">
        <v>65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spans="1:15" ht="86.4">
      <c r="A2" s="89" t="s">
        <v>66</v>
      </c>
      <c r="B2" s="90"/>
      <c r="C2" s="91">
        <v>4.5</v>
      </c>
      <c r="D2" s="91"/>
      <c r="E2" s="91">
        <v>123</v>
      </c>
      <c r="F2" s="91"/>
      <c r="G2" s="91">
        <v>190.5</v>
      </c>
      <c r="H2" s="91"/>
      <c r="I2" s="91">
        <v>133.5</v>
      </c>
      <c r="J2" s="91"/>
      <c r="K2" s="92">
        <v>259</v>
      </c>
      <c r="L2" s="93"/>
      <c r="M2" s="91">
        <v>197.5</v>
      </c>
      <c r="N2" s="91"/>
      <c r="O2" s="62">
        <v>100</v>
      </c>
    </row>
    <row r="3" spans="1:15" ht="14.4">
      <c r="A3" s="94" t="s">
        <v>67</v>
      </c>
      <c r="B3" s="91">
        <f t="shared" ref="B3" si="0">D3+C2</f>
        <v>1008</v>
      </c>
      <c r="C3" s="91"/>
      <c r="D3" s="91">
        <f t="shared" ref="D3" si="1">F3+E2</f>
        <v>1003.5</v>
      </c>
      <c r="E3" s="91"/>
      <c r="F3" s="91">
        <f t="shared" ref="F3" si="2">H3+G2</f>
        <v>880.5</v>
      </c>
      <c r="G3" s="91"/>
      <c r="H3" s="91">
        <f t="shared" ref="H3" si="3">J3+I2</f>
        <v>690</v>
      </c>
      <c r="I3" s="91"/>
      <c r="J3" s="91">
        <f t="shared" ref="J3" si="4">L3+K2</f>
        <v>556.5</v>
      </c>
      <c r="K3" s="91"/>
      <c r="L3" s="91">
        <f>N3+M2</f>
        <v>297.5</v>
      </c>
      <c r="M3" s="91"/>
      <c r="N3" s="91">
        <v>100</v>
      </c>
      <c r="O3" s="91"/>
    </row>
    <row r="4" spans="1:15" ht="14.4">
      <c r="A4" s="94" t="s">
        <v>68</v>
      </c>
      <c r="B4" s="91">
        <v>45</v>
      </c>
      <c r="C4" s="91"/>
      <c r="D4" s="91">
        <v>45</v>
      </c>
      <c r="E4" s="91"/>
      <c r="F4" s="91">
        <v>45</v>
      </c>
      <c r="G4" s="91"/>
      <c r="H4" s="91">
        <v>45</v>
      </c>
      <c r="I4" s="91"/>
      <c r="J4" s="91">
        <v>45</v>
      </c>
      <c r="K4" s="91"/>
      <c r="L4" s="91">
        <v>45</v>
      </c>
      <c r="M4" s="91"/>
      <c r="N4" s="91">
        <v>45</v>
      </c>
      <c r="O4" s="91"/>
    </row>
    <row r="5" spans="1:15" ht="14.4">
      <c r="A5" s="94" t="s">
        <v>69</v>
      </c>
      <c r="B5" s="91">
        <v>3.54</v>
      </c>
      <c r="C5" s="91"/>
      <c r="D5" s="91">
        <v>9.36</v>
      </c>
      <c r="E5" s="91"/>
      <c r="F5" s="91">
        <v>9.36</v>
      </c>
      <c r="G5" s="91"/>
      <c r="H5" s="91">
        <v>1.84</v>
      </c>
      <c r="I5" s="91"/>
      <c r="J5" s="91">
        <v>9.36</v>
      </c>
      <c r="K5" s="91"/>
      <c r="L5" s="91">
        <v>2.33</v>
      </c>
      <c r="M5" s="91"/>
      <c r="N5" s="91">
        <v>9.36</v>
      </c>
      <c r="O5" s="91"/>
    </row>
    <row r="6" spans="1:15" ht="14.4">
      <c r="A6" s="94" t="s">
        <v>70</v>
      </c>
      <c r="B6" s="91">
        <f>B5*B4*B3*10^-7*10</f>
        <v>0.16057440000000003</v>
      </c>
      <c r="C6" s="91"/>
      <c r="D6" s="91">
        <f>D5*D4*D3*10^-7*9</f>
        <v>0.38040678</v>
      </c>
      <c r="E6" s="91"/>
      <c r="F6" s="91">
        <f>F5*F4*F3*10^-7*33</f>
        <v>1.2238597799999997</v>
      </c>
      <c r="G6" s="91"/>
      <c r="H6" s="91">
        <f>H5*H4*H3*10^-7*20</f>
        <v>0.114264</v>
      </c>
      <c r="I6" s="91"/>
      <c r="J6" s="91">
        <f>J5*J4*J3*10^-7*87</f>
        <v>2.0392608599999997</v>
      </c>
      <c r="K6" s="91"/>
      <c r="L6" s="91">
        <f>L5*L4*L3*10^-7*115</f>
        <v>0.35871806250000005</v>
      </c>
      <c r="M6" s="91"/>
      <c r="N6" s="91">
        <f>N5*N4*N3*10^-7*200</f>
        <v>0.84239999999999993</v>
      </c>
      <c r="O6" s="91"/>
    </row>
    <row r="7" spans="1:15" s="74" customFormat="1" ht="14.4">
      <c r="A7" s="94"/>
      <c r="B7" s="88" t="s">
        <v>74</v>
      </c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</row>
  </sheetData>
  <mergeCells count="36">
    <mergeCell ref="B7:O7"/>
    <mergeCell ref="N5:O5"/>
    <mergeCell ref="B6:C6"/>
    <mergeCell ref="D6:E6"/>
    <mergeCell ref="F6:G6"/>
    <mergeCell ref="H6:I6"/>
    <mergeCell ref="J6:K6"/>
    <mergeCell ref="L6:M6"/>
    <mergeCell ref="N6:O6"/>
    <mergeCell ref="B5:C5"/>
    <mergeCell ref="D5:E5"/>
    <mergeCell ref="F5:G5"/>
    <mergeCell ref="H5:I5"/>
    <mergeCell ref="J5:K5"/>
    <mergeCell ref="L5:M5"/>
    <mergeCell ref="N3:O3"/>
    <mergeCell ref="B4:C4"/>
    <mergeCell ref="D4:E4"/>
    <mergeCell ref="F4:G4"/>
    <mergeCell ref="H4:I4"/>
    <mergeCell ref="J4:K4"/>
    <mergeCell ref="L4:M4"/>
    <mergeCell ref="N4:O4"/>
    <mergeCell ref="B3:C3"/>
    <mergeCell ref="D3:E3"/>
    <mergeCell ref="F3:G3"/>
    <mergeCell ref="H3:I3"/>
    <mergeCell ref="J3:K3"/>
    <mergeCell ref="L3:M3"/>
    <mergeCell ref="B1:O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workbookViewId="0">
      <selection activeCell="G16" sqref="G16"/>
    </sheetView>
  </sheetViews>
  <sheetFormatPr defaultRowHeight="13.8"/>
  <sheetData>
    <row r="1" spans="1:19" ht="26.4">
      <c r="A1" s="135" t="s">
        <v>65</v>
      </c>
      <c r="B1" s="110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8"/>
    </row>
    <row r="2" spans="1:19" ht="82.8">
      <c r="A2" s="136" t="s">
        <v>66</v>
      </c>
      <c r="B2" s="134">
        <v>125</v>
      </c>
      <c r="C2" s="134">
        <v>125</v>
      </c>
      <c r="D2" s="134">
        <v>125</v>
      </c>
      <c r="E2" s="134">
        <v>1250</v>
      </c>
      <c r="F2" s="134">
        <v>500</v>
      </c>
      <c r="G2" s="134">
        <v>750</v>
      </c>
      <c r="H2" s="134">
        <v>125</v>
      </c>
      <c r="I2" s="134">
        <v>750</v>
      </c>
      <c r="J2" s="134">
        <v>125</v>
      </c>
      <c r="K2" s="134">
        <v>750</v>
      </c>
      <c r="L2" s="134">
        <v>125</v>
      </c>
      <c r="M2" s="134">
        <v>125</v>
      </c>
      <c r="N2" s="134">
        <v>250</v>
      </c>
      <c r="O2" s="134">
        <v>125</v>
      </c>
      <c r="P2" s="134">
        <v>125</v>
      </c>
      <c r="Q2" s="134">
        <v>125</v>
      </c>
      <c r="R2" s="134">
        <v>125</v>
      </c>
      <c r="S2" s="134">
        <v>125</v>
      </c>
    </row>
    <row r="3" spans="1:19">
      <c r="A3" s="137" t="s">
        <v>67</v>
      </c>
      <c r="B3" s="134">
        <v>5750</v>
      </c>
      <c r="C3" s="134">
        <v>5625</v>
      </c>
      <c r="D3" s="134">
        <v>5500</v>
      </c>
      <c r="E3" s="134">
        <v>5375</v>
      </c>
      <c r="F3" s="134">
        <v>4125</v>
      </c>
      <c r="G3" s="134">
        <v>3625</v>
      </c>
      <c r="H3" s="134">
        <v>2875</v>
      </c>
      <c r="I3" s="134">
        <v>2750</v>
      </c>
      <c r="J3" s="134">
        <v>2000</v>
      </c>
      <c r="K3" s="134">
        <v>1875</v>
      </c>
      <c r="L3" s="134">
        <v>1125</v>
      </c>
      <c r="M3" s="134">
        <v>1000</v>
      </c>
      <c r="N3" s="134">
        <v>875</v>
      </c>
      <c r="O3" s="138">
        <v>625</v>
      </c>
      <c r="P3" s="138">
        <v>500</v>
      </c>
      <c r="Q3" s="138">
        <v>375</v>
      </c>
      <c r="R3" s="138">
        <v>250</v>
      </c>
      <c r="S3" s="138">
        <v>125</v>
      </c>
    </row>
    <row r="4" spans="1:19">
      <c r="A4" s="137" t="s">
        <v>79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8"/>
      <c r="P4" s="138"/>
      <c r="Q4" s="138"/>
      <c r="R4" s="138"/>
      <c r="S4" s="138"/>
    </row>
    <row r="5" spans="1:19">
      <c r="A5" s="137" t="s">
        <v>70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8"/>
      <c r="P5" s="138"/>
      <c r="Q5" s="138"/>
      <c r="R5" s="138"/>
      <c r="S5" s="138"/>
    </row>
    <row r="6" spans="1:19">
      <c r="A6" s="137"/>
      <c r="B6" s="110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8"/>
    </row>
  </sheetData>
  <mergeCells count="2">
    <mergeCell ref="B1:S1"/>
    <mergeCell ref="B6:S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selection activeCell="F5" sqref="F5"/>
    </sheetView>
  </sheetViews>
  <sheetFormatPr defaultRowHeight="13.8"/>
  <cols>
    <col min="1" max="1" width="16.09765625" customWidth="1"/>
    <col min="2" max="2" width="15.19921875" customWidth="1"/>
    <col min="3" max="3" width="12.3984375" customWidth="1"/>
    <col min="4" max="4" width="11.09765625" customWidth="1"/>
    <col min="5" max="5" width="12.3984375" customWidth="1"/>
    <col min="6" max="6" width="12.5" customWidth="1"/>
    <col min="7" max="7" width="16.796875" customWidth="1"/>
  </cols>
  <sheetData>
    <row r="1" spans="1:7" ht="27.6">
      <c r="A1" s="107" t="s">
        <v>9</v>
      </c>
      <c r="B1" s="107" t="s">
        <v>10</v>
      </c>
      <c r="C1" s="107" t="s">
        <v>11</v>
      </c>
      <c r="D1" s="107" t="s">
        <v>29</v>
      </c>
      <c r="E1" s="107" t="s">
        <v>30</v>
      </c>
      <c r="F1" s="107" t="s">
        <v>14</v>
      </c>
      <c r="G1" s="107" t="s">
        <v>31</v>
      </c>
    </row>
    <row r="2" spans="1:7">
      <c r="A2" s="107"/>
      <c r="B2" s="107"/>
      <c r="C2" s="107"/>
      <c r="D2" s="107"/>
      <c r="E2" s="107"/>
      <c r="F2" s="107"/>
      <c r="G2" s="107"/>
    </row>
    <row r="3" spans="1:7" ht="27.6">
      <c r="A3" s="107">
        <v>5649.482536378393</v>
      </c>
      <c r="B3" s="107">
        <v>29898.114076916594</v>
      </c>
      <c r="C3" s="107">
        <v>106.7789788461307</v>
      </c>
      <c r="D3" s="107">
        <v>8</v>
      </c>
      <c r="E3" s="107">
        <v>8</v>
      </c>
      <c r="F3" s="107" t="s">
        <v>47</v>
      </c>
      <c r="G3" s="107" t="s">
        <v>19</v>
      </c>
    </row>
    <row r="4" spans="1:7" ht="27.6">
      <c r="A4" s="107">
        <v>5423.7575729104201</v>
      </c>
      <c r="B4" s="107">
        <v>24248.631540538201</v>
      </c>
      <c r="C4" s="107">
        <v>86.602255501922144</v>
      </c>
      <c r="D4" s="107">
        <v>8</v>
      </c>
      <c r="E4" s="107">
        <v>8</v>
      </c>
      <c r="F4" s="107" t="s">
        <v>47</v>
      </c>
      <c r="G4" s="107" t="s">
        <v>19</v>
      </c>
    </row>
    <row r="5" spans="1:7" ht="27.6">
      <c r="A5" s="107">
        <v>5362.4293002372851</v>
      </c>
      <c r="B5" s="107">
        <v>18824.87396762778</v>
      </c>
      <c r="C5" s="107">
        <v>67.23169274152778</v>
      </c>
      <c r="D5" s="107">
        <v>7</v>
      </c>
      <c r="E5" s="107">
        <v>7</v>
      </c>
      <c r="F5" s="107" t="s">
        <v>45</v>
      </c>
      <c r="G5" s="107" t="s">
        <v>19</v>
      </c>
    </row>
    <row r="6" spans="1:7">
      <c r="A6" s="107"/>
      <c r="B6" s="107"/>
      <c r="C6" s="107"/>
      <c r="D6" s="107">
        <v>1</v>
      </c>
      <c r="E6" s="107">
        <v>1</v>
      </c>
      <c r="F6" s="107" t="s">
        <v>28</v>
      </c>
      <c r="G6" s="107" t="s">
        <v>19</v>
      </c>
    </row>
    <row r="7" spans="1:7">
      <c r="A7" s="107"/>
      <c r="B7" s="107"/>
      <c r="C7" s="107"/>
      <c r="D7" s="107">
        <v>1</v>
      </c>
      <c r="E7" s="107">
        <v>1</v>
      </c>
      <c r="F7" s="107" t="s">
        <v>28</v>
      </c>
      <c r="G7" s="107" t="s">
        <v>19</v>
      </c>
    </row>
    <row r="8" spans="1:7">
      <c r="A8" s="107"/>
      <c r="B8" s="107"/>
      <c r="C8" s="107"/>
      <c r="D8" s="107">
        <v>1</v>
      </c>
      <c r="E8" s="107">
        <v>1</v>
      </c>
      <c r="F8" s="107" t="s">
        <v>28</v>
      </c>
      <c r="G8" s="107" t="s">
        <v>19</v>
      </c>
    </row>
    <row r="9" spans="1:7">
      <c r="A9" s="107"/>
      <c r="B9" s="107"/>
      <c r="C9" s="107"/>
      <c r="D9" s="107">
        <v>1</v>
      </c>
      <c r="E9" s="107">
        <v>1</v>
      </c>
      <c r="F9" s="107" t="s">
        <v>28</v>
      </c>
      <c r="G9" s="107" t="s">
        <v>19</v>
      </c>
    </row>
    <row r="10" spans="1:7">
      <c r="A10" s="107"/>
      <c r="B10" s="107"/>
      <c r="C10" s="107"/>
      <c r="D10" s="107">
        <v>1</v>
      </c>
      <c r="E10" s="107">
        <v>1</v>
      </c>
      <c r="F10" s="107" t="s">
        <v>28</v>
      </c>
      <c r="G10" s="107" t="s">
        <v>19</v>
      </c>
    </row>
    <row r="11" spans="1:7">
      <c r="A11" s="107"/>
      <c r="B11" s="107"/>
      <c r="C11" s="107"/>
      <c r="D11" s="107">
        <v>1</v>
      </c>
      <c r="E11" s="107">
        <v>1</v>
      </c>
      <c r="F11" s="107" t="s">
        <v>28</v>
      </c>
      <c r="G11" s="107" t="s">
        <v>19</v>
      </c>
    </row>
    <row r="12" spans="1:7">
      <c r="A12" s="107"/>
      <c r="B12" s="107"/>
      <c r="C12" s="107"/>
      <c r="D12" s="107">
        <v>1</v>
      </c>
      <c r="E12" s="107">
        <v>1</v>
      </c>
      <c r="F12" s="107" t="s">
        <v>28</v>
      </c>
      <c r="G12" s="107" t="s">
        <v>19</v>
      </c>
    </row>
    <row r="13" spans="1:7">
      <c r="A13" s="107"/>
      <c r="B13" s="107"/>
      <c r="C13" s="107"/>
      <c r="D13" s="107">
        <v>1</v>
      </c>
      <c r="E13" s="107">
        <v>1</v>
      </c>
      <c r="F13" s="107" t="s">
        <v>28</v>
      </c>
      <c r="G13" s="107" t="s">
        <v>19</v>
      </c>
    </row>
    <row r="14" spans="1:7">
      <c r="A14" s="107"/>
      <c r="B14" s="107"/>
      <c r="C14" s="107"/>
      <c r="D14" s="107">
        <v>1</v>
      </c>
      <c r="E14" s="107">
        <v>1</v>
      </c>
      <c r="F14" s="107" t="s">
        <v>28</v>
      </c>
      <c r="G14" s="107" t="s">
        <v>19</v>
      </c>
    </row>
    <row r="15" spans="1:7">
      <c r="A15" s="107">
        <v>851.9297008318739</v>
      </c>
      <c r="B15" s="107">
        <v>13462.444667390495</v>
      </c>
      <c r="C15" s="107">
        <v>48.080159526394624</v>
      </c>
      <c r="D15" s="107">
        <v>1</v>
      </c>
      <c r="E15" s="107">
        <v>1</v>
      </c>
      <c r="F15" s="107" t="s">
        <v>28</v>
      </c>
      <c r="G15" s="107" t="s">
        <v>19</v>
      </c>
    </row>
    <row r="16" spans="1:7">
      <c r="A16" s="107"/>
      <c r="B16" s="107"/>
      <c r="C16" s="107"/>
      <c r="D16" s="107">
        <v>1</v>
      </c>
      <c r="E16" s="107">
        <v>1</v>
      </c>
      <c r="F16" s="107" t="s">
        <v>28</v>
      </c>
      <c r="G16" s="107" t="s">
        <v>19</v>
      </c>
    </row>
    <row r="17" spans="1:7">
      <c r="A17" s="107"/>
      <c r="B17" s="107"/>
      <c r="C17" s="107"/>
      <c r="D17" s="107">
        <v>1</v>
      </c>
      <c r="E17" s="107">
        <v>1</v>
      </c>
      <c r="F17" s="107" t="s">
        <v>28</v>
      </c>
      <c r="G17" s="107" t="s">
        <v>19</v>
      </c>
    </row>
    <row r="18" spans="1:7">
      <c r="A18" s="107"/>
      <c r="B18" s="107"/>
      <c r="C18" s="107"/>
      <c r="D18" s="107">
        <v>1</v>
      </c>
      <c r="E18" s="107">
        <v>1</v>
      </c>
      <c r="F18" s="107" t="s">
        <v>28</v>
      </c>
      <c r="G18" s="107" t="s">
        <v>19</v>
      </c>
    </row>
    <row r="19" spans="1:7">
      <c r="A19" s="107">
        <v>2554.0456566177086</v>
      </c>
      <c r="B19" s="107">
        <v>12610.514966558621</v>
      </c>
      <c r="C19" s="107">
        <v>45.037553451995073</v>
      </c>
      <c r="D19" s="107">
        <v>1</v>
      </c>
      <c r="E19" s="107">
        <v>1</v>
      </c>
      <c r="F19" s="107" t="s">
        <v>28</v>
      </c>
      <c r="G19" s="107" t="s">
        <v>19</v>
      </c>
    </row>
    <row r="20" spans="1:7">
      <c r="A20" s="107"/>
      <c r="B20" s="107"/>
      <c r="C20" s="107"/>
      <c r="D20" s="107">
        <v>1</v>
      </c>
      <c r="E20" s="107">
        <v>1</v>
      </c>
      <c r="F20" s="107" t="s">
        <v>28</v>
      </c>
      <c r="G20" s="107" t="s">
        <v>19</v>
      </c>
    </row>
    <row r="21" spans="1:7">
      <c r="A21" s="107"/>
      <c r="B21" s="107"/>
      <c r="C21" s="107"/>
      <c r="D21" s="107">
        <v>1</v>
      </c>
      <c r="E21" s="107">
        <v>1</v>
      </c>
      <c r="F21" s="107" t="s">
        <v>28</v>
      </c>
      <c r="G21" s="107" t="s">
        <v>19</v>
      </c>
    </row>
    <row r="22" spans="1:7">
      <c r="A22" s="107"/>
      <c r="B22" s="107"/>
      <c r="C22" s="107"/>
      <c r="D22" s="107">
        <v>1</v>
      </c>
      <c r="E22" s="107">
        <v>1</v>
      </c>
      <c r="F22" s="107" t="s">
        <v>28</v>
      </c>
      <c r="G22" s="107" t="s">
        <v>19</v>
      </c>
    </row>
    <row r="23" spans="1:7">
      <c r="A23" s="107"/>
      <c r="B23" s="107"/>
      <c r="C23" s="107"/>
      <c r="D23" s="107">
        <v>1</v>
      </c>
      <c r="E23" s="107">
        <v>1</v>
      </c>
      <c r="F23" s="107" t="s">
        <v>28</v>
      </c>
      <c r="G23" s="107" t="s">
        <v>19</v>
      </c>
    </row>
    <row r="24" spans="1:7">
      <c r="A24" s="107"/>
      <c r="B24" s="107"/>
      <c r="C24" s="107"/>
      <c r="D24" s="107">
        <v>1</v>
      </c>
      <c r="E24" s="107">
        <v>1</v>
      </c>
      <c r="F24" s="107" t="s">
        <v>28</v>
      </c>
      <c r="G24" s="107" t="s">
        <v>19</v>
      </c>
    </row>
    <row r="25" spans="1:7" ht="27.6">
      <c r="A25" s="107">
        <v>1121.2749964813265</v>
      </c>
      <c r="B25" s="107">
        <v>10056.469309940912</v>
      </c>
      <c r="C25" s="107">
        <v>35.915961821217543</v>
      </c>
      <c r="D25" s="107">
        <v>4</v>
      </c>
      <c r="E25" s="107">
        <v>8</v>
      </c>
      <c r="F25" s="107" t="s">
        <v>47</v>
      </c>
      <c r="G25" s="107" t="s">
        <v>19</v>
      </c>
    </row>
    <row r="26" spans="1:7" ht="27.6">
      <c r="A26" s="107">
        <v>768.62033600266307</v>
      </c>
      <c r="B26" s="107">
        <v>8935.1943134595858</v>
      </c>
      <c r="C26" s="107">
        <v>31.911408262355664</v>
      </c>
      <c r="D26" s="107">
        <v>3</v>
      </c>
      <c r="E26" s="107">
        <v>7</v>
      </c>
      <c r="F26" s="107" t="s">
        <v>45</v>
      </c>
      <c r="G26" s="107" t="s">
        <v>19</v>
      </c>
    </row>
    <row r="27" spans="1:7">
      <c r="A27" s="107"/>
      <c r="B27" s="107"/>
      <c r="C27" s="107"/>
      <c r="D27" s="107">
        <v>1</v>
      </c>
      <c r="E27" s="107">
        <v>1</v>
      </c>
      <c r="F27" s="107" t="s">
        <v>28</v>
      </c>
      <c r="G27" s="107" t="s">
        <v>19</v>
      </c>
    </row>
    <row r="28" spans="1:7">
      <c r="A28" s="107"/>
      <c r="B28" s="107"/>
      <c r="C28" s="107"/>
      <c r="D28" s="107">
        <v>1</v>
      </c>
      <c r="E28" s="107">
        <v>1</v>
      </c>
      <c r="F28" s="107" t="s">
        <v>28</v>
      </c>
      <c r="G28" s="107" t="s">
        <v>19</v>
      </c>
    </row>
    <row r="29" spans="1:7">
      <c r="A29" s="107"/>
      <c r="B29" s="107"/>
      <c r="C29" s="107"/>
      <c r="D29" s="107">
        <v>1</v>
      </c>
      <c r="E29" s="107">
        <v>1</v>
      </c>
      <c r="F29" s="107" t="s">
        <v>28</v>
      </c>
      <c r="G29" s="107" t="s">
        <v>19</v>
      </c>
    </row>
    <row r="30" spans="1:7">
      <c r="A30" s="107"/>
      <c r="B30" s="107"/>
      <c r="C30" s="107"/>
      <c r="D30" s="107">
        <v>1</v>
      </c>
      <c r="E30" s="107">
        <v>1</v>
      </c>
      <c r="F30" s="107" t="s">
        <v>28</v>
      </c>
      <c r="G30" s="107" t="s">
        <v>19</v>
      </c>
    </row>
    <row r="31" spans="1:7">
      <c r="A31" s="107"/>
      <c r="B31" s="107"/>
      <c r="C31" s="107"/>
      <c r="D31" s="107">
        <v>1</v>
      </c>
      <c r="E31" s="107">
        <v>1</v>
      </c>
      <c r="F31" s="107" t="s">
        <v>28</v>
      </c>
      <c r="G31" s="107" t="s">
        <v>19</v>
      </c>
    </row>
    <row r="32" spans="1:7">
      <c r="A32" s="107">
        <v>1657.2991411420114</v>
      </c>
      <c r="B32" s="107">
        <v>8166.5739774569229</v>
      </c>
      <c r="C32" s="107">
        <v>29.166335633774725</v>
      </c>
      <c r="D32" s="107">
        <v>3</v>
      </c>
      <c r="E32" s="107">
        <v>1</v>
      </c>
      <c r="F32" s="107" t="s">
        <v>28</v>
      </c>
      <c r="G32" s="107" t="s">
        <v>19</v>
      </c>
    </row>
    <row r="33" spans="1:7">
      <c r="A33" s="107">
        <v>1284.9196125849207</v>
      </c>
      <c r="B33" s="107">
        <v>6509.2748363149112</v>
      </c>
      <c r="C33" s="107">
        <v>23.24741012969611</v>
      </c>
      <c r="D33" s="107">
        <v>2</v>
      </c>
      <c r="E33" s="107">
        <v>1</v>
      </c>
      <c r="F33" s="107" t="s">
        <v>28</v>
      </c>
      <c r="G33" s="107" t="s">
        <v>19</v>
      </c>
    </row>
    <row r="34" spans="1:7">
      <c r="A34" s="107"/>
      <c r="B34" s="107"/>
      <c r="C34" s="107"/>
      <c r="D34" s="107">
        <v>1</v>
      </c>
      <c r="E34" s="107">
        <v>1</v>
      </c>
      <c r="F34" s="107" t="s">
        <v>28</v>
      </c>
      <c r="G34" s="107" t="s">
        <v>19</v>
      </c>
    </row>
    <row r="35" spans="1:7">
      <c r="A35" s="107"/>
      <c r="B35" s="107"/>
      <c r="C35" s="107"/>
      <c r="D35" s="107">
        <v>1</v>
      </c>
      <c r="E35" s="107">
        <v>1</v>
      </c>
      <c r="F35" s="107" t="s">
        <v>28</v>
      </c>
      <c r="G35" s="107" t="s">
        <v>19</v>
      </c>
    </row>
    <row r="36" spans="1:7">
      <c r="A36" s="107"/>
      <c r="B36" s="107"/>
      <c r="C36" s="107"/>
      <c r="D36" s="107">
        <v>1</v>
      </c>
      <c r="E36" s="107">
        <v>1</v>
      </c>
      <c r="F36" s="107" t="s">
        <v>28</v>
      </c>
      <c r="G36" s="107" t="s">
        <v>19</v>
      </c>
    </row>
    <row r="37" spans="1:7">
      <c r="A37" s="107"/>
      <c r="B37" s="107"/>
      <c r="C37" s="107"/>
      <c r="D37" s="107">
        <v>1</v>
      </c>
      <c r="E37" s="107">
        <v>1</v>
      </c>
      <c r="F37" s="107" t="s">
        <v>28</v>
      </c>
      <c r="G37" s="107" t="s">
        <v>19</v>
      </c>
    </row>
    <row r="38" spans="1:7">
      <c r="A38" s="107"/>
      <c r="B38" s="107"/>
      <c r="C38" s="107"/>
      <c r="D38" s="107">
        <v>1</v>
      </c>
      <c r="E38" s="107">
        <v>1</v>
      </c>
      <c r="F38" s="107" t="s">
        <v>28</v>
      </c>
      <c r="G38" s="107" t="s">
        <v>19</v>
      </c>
    </row>
    <row r="39" spans="1:7" ht="27.6">
      <c r="A39" s="107">
        <v>1049.7937154584563</v>
      </c>
      <c r="B39" s="107">
        <v>5224.3552237299909</v>
      </c>
      <c r="C39" s="107">
        <v>18.658411513321397</v>
      </c>
      <c r="D39" s="107">
        <v>1</v>
      </c>
      <c r="E39" s="107">
        <v>7</v>
      </c>
      <c r="F39" s="107" t="s">
        <v>45</v>
      </c>
      <c r="G39" s="107" t="s">
        <v>19</v>
      </c>
    </row>
    <row r="40" spans="1:7" ht="27.6">
      <c r="A40" s="107">
        <v>934.8630283193794</v>
      </c>
      <c r="B40" s="107">
        <v>4174.5615082715349</v>
      </c>
      <c r="C40" s="107">
        <v>14.909148243826911</v>
      </c>
      <c r="D40" s="107">
        <v>1</v>
      </c>
      <c r="E40" s="107">
        <v>7</v>
      </c>
      <c r="F40" s="107" t="s">
        <v>45</v>
      </c>
      <c r="G40" s="107" t="s">
        <v>19</v>
      </c>
    </row>
    <row r="41" spans="1:7">
      <c r="A41" s="107">
        <v>668.97043921434101</v>
      </c>
      <c r="B41" s="107">
        <v>3239.6984799521551</v>
      </c>
      <c r="C41" s="107">
        <v>11.570351714114841</v>
      </c>
      <c r="D41" s="107">
        <v>1</v>
      </c>
      <c r="E41" s="107">
        <v>1</v>
      </c>
      <c r="F41" s="107" t="s">
        <v>28</v>
      </c>
      <c r="G41" s="107" t="s">
        <v>19</v>
      </c>
    </row>
    <row r="42" spans="1:7">
      <c r="A42" s="107">
        <v>656.35609550483889</v>
      </c>
      <c r="B42" s="107">
        <v>2570.7280407378144</v>
      </c>
      <c r="C42" s="107">
        <v>9.1811715740636224</v>
      </c>
      <c r="D42" s="107">
        <v>1</v>
      </c>
      <c r="E42" s="107">
        <v>1</v>
      </c>
      <c r="F42" s="107" t="s">
        <v>28</v>
      </c>
      <c r="G42" s="107" t="s">
        <v>19</v>
      </c>
    </row>
    <row r="43" spans="1:7">
      <c r="A43" s="107">
        <v>601.65975421319013</v>
      </c>
      <c r="B43" s="107">
        <v>1914.3719452329753</v>
      </c>
      <c r="C43" s="107">
        <v>6.8370426615463407</v>
      </c>
      <c r="D43" s="107">
        <v>1</v>
      </c>
      <c r="E43" s="107">
        <v>1</v>
      </c>
      <c r="F43" s="107" t="s">
        <v>28</v>
      </c>
      <c r="G43" s="107" t="s">
        <v>19</v>
      </c>
    </row>
    <row r="44" spans="1:7">
      <c r="A44" s="107">
        <v>492.26707162989265</v>
      </c>
      <c r="B44" s="107">
        <v>1312.7121910197852</v>
      </c>
      <c r="C44" s="107">
        <v>4.6882578250706617</v>
      </c>
      <c r="D44" s="107">
        <v>1</v>
      </c>
      <c r="E44" s="107">
        <v>1</v>
      </c>
      <c r="F44" s="107" t="s">
        <v>28</v>
      </c>
      <c r="G44" s="107" t="s">
        <v>19</v>
      </c>
    </row>
    <row r="45" spans="1:7">
      <c r="A45" s="107">
        <v>382.87438904659507</v>
      </c>
      <c r="B45" s="107">
        <v>820.44511938989262</v>
      </c>
      <c r="C45" s="107">
        <v>2.9301611406781878</v>
      </c>
      <c r="D45" s="107">
        <v>1</v>
      </c>
      <c r="E45" s="107">
        <v>1</v>
      </c>
      <c r="F45" s="107" t="s">
        <v>28</v>
      </c>
      <c r="G45" s="107" t="s">
        <v>19</v>
      </c>
    </row>
    <row r="46" spans="1:7">
      <c r="A46" s="107">
        <v>273.48170646329754</v>
      </c>
      <c r="B46" s="107">
        <v>437.57073034329756</v>
      </c>
      <c r="C46" s="107">
        <v>1.5627526083689198</v>
      </c>
      <c r="D46" s="107">
        <v>1</v>
      </c>
      <c r="E46" s="107">
        <v>1</v>
      </c>
      <c r="F46" s="107" t="s">
        <v>28</v>
      </c>
      <c r="G46" s="107" t="s">
        <v>19</v>
      </c>
    </row>
    <row r="47" spans="1:7">
      <c r="A47" s="107">
        <v>164.08902388000001</v>
      </c>
      <c r="B47" s="107">
        <v>164.08902388000001</v>
      </c>
      <c r="C47" s="107">
        <v>0.58603222814285705</v>
      </c>
      <c r="D47" s="107">
        <v>1</v>
      </c>
      <c r="E47" s="107">
        <v>1</v>
      </c>
      <c r="F47" s="107" t="s">
        <v>28</v>
      </c>
      <c r="G47" s="107" t="s">
        <v>19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7"/>
  <sheetViews>
    <sheetView topLeftCell="F1" workbookViewId="0">
      <selection activeCell="F10" sqref="F10"/>
    </sheetView>
  </sheetViews>
  <sheetFormatPr defaultColWidth="9" defaultRowHeight="13.8"/>
  <cols>
    <col min="4" max="4" width="11" customWidth="1"/>
    <col min="5" max="5" width="14.296875" customWidth="1"/>
    <col min="6" max="6" width="12.5" customWidth="1"/>
    <col min="7" max="7" width="13.59765625" customWidth="1"/>
    <col min="8" max="8" width="15.59765625" customWidth="1"/>
    <col min="9" max="9" width="15" customWidth="1"/>
    <col min="10" max="10" width="15.796875" customWidth="1"/>
    <col min="11" max="11" width="17.09765625" customWidth="1"/>
    <col min="12" max="12" width="15.69921875" customWidth="1"/>
    <col min="13" max="13" width="18.8984375" customWidth="1"/>
    <col min="14" max="14" width="20.796875" customWidth="1"/>
    <col min="15" max="15" width="15.3984375" customWidth="1"/>
    <col min="16" max="16" width="17.69921875" customWidth="1"/>
  </cols>
  <sheetData>
    <row r="1" spans="1:16" ht="19.05" customHeight="1">
      <c r="A1" s="2" t="s">
        <v>0</v>
      </c>
      <c r="B1" s="3" t="s">
        <v>20</v>
      </c>
      <c r="C1" s="3" t="s">
        <v>2</v>
      </c>
      <c r="D1" s="3" t="s">
        <v>3</v>
      </c>
      <c r="E1" s="3" t="s">
        <v>4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9</v>
      </c>
      <c r="K1" s="3" t="s">
        <v>10</v>
      </c>
      <c r="L1" s="3" t="s">
        <v>11</v>
      </c>
      <c r="M1" s="8" t="s">
        <v>12</v>
      </c>
      <c r="N1" s="9" t="s">
        <v>13</v>
      </c>
      <c r="O1" s="9" t="s">
        <v>14</v>
      </c>
      <c r="P1" s="10" t="s">
        <v>15</v>
      </c>
    </row>
    <row r="2" spans="1:16" ht="14.4">
      <c r="A2" s="4" t="s">
        <v>34</v>
      </c>
      <c r="B2" s="5"/>
      <c r="C2" s="5"/>
      <c r="D2" s="5"/>
      <c r="E2" s="5"/>
      <c r="F2" s="5"/>
      <c r="G2" s="5">
        <f>0.5*(F3)</f>
        <v>2700</v>
      </c>
      <c r="H2" s="5">
        <f t="shared" ref="H2:H7" si="0">G2/(SQRT(3)*380)</f>
        <v>4.1022255968736596</v>
      </c>
      <c r="I2" s="5"/>
      <c r="J2" s="5"/>
      <c r="K2" s="5"/>
      <c r="L2" s="5"/>
      <c r="M2" s="11"/>
      <c r="N2" s="12"/>
      <c r="O2" s="12"/>
      <c r="P2" s="13"/>
    </row>
    <row r="3" spans="1:16" ht="14.4">
      <c r="A3" s="4">
        <v>1</v>
      </c>
      <c r="B3" s="5">
        <v>1</v>
      </c>
      <c r="C3" s="5">
        <v>40</v>
      </c>
      <c r="D3" s="5">
        <v>3</v>
      </c>
      <c r="E3" s="5">
        <v>45</v>
      </c>
      <c r="F3" s="5">
        <f t="shared" ref="F3:F7" si="1">E3*D3*C3</f>
        <v>5400</v>
      </c>
      <c r="G3" s="5">
        <f>0.5*(F3+F4+F5)</f>
        <v>14782.5</v>
      </c>
      <c r="H3" s="5">
        <f t="shared" si="0"/>
        <v>22.459685142883298</v>
      </c>
      <c r="I3" s="5">
        <f>H3+H4+I5</f>
        <v>87.377405213408906</v>
      </c>
      <c r="J3" s="5">
        <f t="shared" ref="J3:J7" si="2">I3*C3</f>
        <v>3495.0962085363599</v>
      </c>
      <c r="K3" s="5">
        <f>J3+K5</f>
        <v>14799.189063281399</v>
      </c>
      <c r="L3" s="5">
        <f t="shared" ref="L3:L7" si="3">K3/(8*35)</f>
        <v>52.8542466545764</v>
      </c>
      <c r="M3" s="12">
        <f>IF(L3&gt;[1]Veriler!$D$1,IF(L3&gt;[1]Veriler!$D$2,IF(L3&gt;[1]Veriler!$D$3,IF(L3&gt;[1]Veriler!$D$4,IF(L3&gt;[1]Veriler!$D$5,IF(L3&gt;[1]Veriler!$D$6,IF(L3&gt;[1]Veriler!$D$7,IF(L3&gt;[1]Veriler!$D$8,"ders sorumlusuna başvur",[1]Veriler!$A$8),[1]Veriler!$A$7),[1]Veriler!$A$6),[1]Veriler!$A$5),[1]Veriler!$A$4),[1]Veriler!$A$3),[1]Veriler!$A$2),[1]Veriler!$A$1)</f>
        <v>5</v>
      </c>
      <c r="N3" s="12">
        <v>3</v>
      </c>
      <c r="O3" s="12" t="str">
        <f>IF(I3&lt;78,"10 mm²",IF(I3&lt;104,"16 mm²",IF(I3&lt;137,"25 mm²",IF(I3&lt;168,"35 mm²",IF(I3&lt;210,"50 mm²",IF(I3&lt;260,"70 mm²",IF(I3&lt;310,"95 mm²",IF(I3&lt;344,"120 mm²",IF(I3&lt;391,"150 mm²",IF(I3&lt;448,"185 mm²"))))))))))</f>
        <v>16 mm²</v>
      </c>
      <c r="P3" s="13" t="str">
        <f>IF(I3&lt;VLOOKUP(N3,[1]Veriler!A$1:E$8,5,FALSE)," UYGUNDUR","KESİT AKIMI TAŞIYAMIYOR")</f>
        <v xml:space="preserve"> UYGUNDUR</v>
      </c>
    </row>
    <row r="4" spans="1:16" ht="14.4">
      <c r="A4" s="4">
        <v>2</v>
      </c>
      <c r="B4" s="5">
        <v>2</v>
      </c>
      <c r="C4" s="5">
        <v>74</v>
      </c>
      <c r="D4" s="5">
        <v>3</v>
      </c>
      <c r="E4" s="5">
        <v>45</v>
      </c>
      <c r="F4" s="5">
        <f t="shared" si="1"/>
        <v>9990</v>
      </c>
      <c r="G4" s="5">
        <f>0.5*(F4)</f>
        <v>4995</v>
      </c>
      <c r="H4" s="5">
        <f t="shared" si="0"/>
        <v>7.5891173542162704</v>
      </c>
      <c r="I4" s="5"/>
      <c r="J4" s="5"/>
      <c r="K4" s="5"/>
      <c r="L4" s="5">
        <f t="shared" si="3"/>
        <v>0</v>
      </c>
      <c r="M4" s="12">
        <f>IF(L4&gt;[1]Veriler!$D$1,IF(L4&gt;[1]Veriler!$D$2,IF(L4&gt;[1]Veriler!$D$3,IF(L4&gt;[1]Veriler!$D$4,IF(L4&gt;[1]Veriler!$D$5,IF(L4&gt;[1]Veriler!$D$6,IF(L4&gt;[1]Veriler!$D$7,IF(L4&gt;[1]Veriler!$D$8,"ders sorumlusuna başvur",[1]Veriler!$A$8),[1]Veriler!$A$7),[1]Veriler!$A$6),[1]Veriler!$A$5),[1]Veriler!$A$4),[1]Veriler!$A$3),[1]Veriler!$A$2),[1]Veriler!$A$1)</f>
        <v>1</v>
      </c>
      <c r="N4" s="12">
        <v>1</v>
      </c>
      <c r="O4" s="12" t="str">
        <f t="shared" ref="O4:O7" si="4">IF(I4&lt;78,"10 mm²",IF(I4&lt;104,"16 mm²",IF(I4&lt;137,"25 mm²",IF(I4&lt;168,"35 mm²",IF(I4&lt;210,"50 mm²",IF(I4&lt;260,"70 mm²",IF(I4&lt;310,"95 mm²",IF(I4&lt;344,"120 mm²",IF(I4&lt;391,"150 mm²",IF(I4&lt;448,"185 mm²"))))))))))</f>
        <v>10 mm²</v>
      </c>
      <c r="P4" s="13" t="str">
        <f>IF(I4&lt;VLOOKUP(N4,[1]Veriler!A$1:E$8,5,FALSE)," UYGUNDUR","KESİT AKIMI TAŞIYAMIYOR")</f>
        <v xml:space="preserve"> UYGUNDUR</v>
      </c>
    </row>
    <row r="5" spans="1:16" ht="14.4">
      <c r="A5" s="4">
        <v>3</v>
      </c>
      <c r="B5" s="5">
        <v>3</v>
      </c>
      <c r="C5" s="5">
        <v>105</v>
      </c>
      <c r="D5" s="5">
        <v>3</v>
      </c>
      <c r="E5" s="5">
        <v>45</v>
      </c>
      <c r="F5" s="5">
        <f t="shared" si="1"/>
        <v>14175</v>
      </c>
      <c r="G5" s="5">
        <f>0.5*(F5+F6)</f>
        <v>12352.5</v>
      </c>
      <c r="H5" s="5">
        <f t="shared" si="0"/>
        <v>18.767682105696998</v>
      </c>
      <c r="I5" s="5">
        <f>H5+I6</f>
        <v>57.328602716309398</v>
      </c>
      <c r="J5" s="5">
        <f t="shared" si="2"/>
        <v>6019.5032852124796</v>
      </c>
      <c r="K5" s="5">
        <f>J5+K6</f>
        <v>11304.092854745</v>
      </c>
      <c r="L5" s="5">
        <f t="shared" si="3"/>
        <v>40.371760195518</v>
      </c>
      <c r="M5" s="12">
        <f>IF(L5&gt;[1]Veriler!$D$1,IF(L5&gt;[1]Veriler!$D$2,IF(L5&gt;[1]Veriler!$D$3,IF(L5&gt;[1]Veriler!$D$4,IF(L5&gt;[1]Veriler!$D$5,IF(L5&gt;[1]Veriler!$D$6,IF(L5&gt;[1]Veriler!$D$7,IF(L5&gt;[1]Veriler!$D$8,"ders sorumlusuna başvur",[1]Veriler!$A$8),[1]Veriler!$A$7),[1]Veriler!$A$6),[1]Veriler!$A$5),[1]Veriler!$A$4),[1]Veriler!$A$3),[1]Veriler!$A$2),[1]Veriler!$A$1)</f>
        <v>4</v>
      </c>
      <c r="N5" s="12">
        <v>1</v>
      </c>
      <c r="O5" s="12" t="str">
        <f t="shared" si="4"/>
        <v>10 mm²</v>
      </c>
      <c r="P5" s="13" t="str">
        <f>IF(I5&lt;VLOOKUP(N5,[1]Veriler!A$1:E$8,5,FALSE)," UYGUNDUR","KESİT AKIMI TAŞIYAMIYOR")</f>
        <v xml:space="preserve"> UYGUNDUR</v>
      </c>
    </row>
    <row r="6" spans="1:16" ht="14.4">
      <c r="A6" s="4">
        <v>4</v>
      </c>
      <c r="B6" s="5">
        <v>4</v>
      </c>
      <c r="C6" s="5">
        <v>78</v>
      </c>
      <c r="D6" s="5">
        <v>3</v>
      </c>
      <c r="E6" s="5">
        <v>45</v>
      </c>
      <c r="F6" s="5">
        <f t="shared" si="1"/>
        <v>10530</v>
      </c>
      <c r="G6" s="5">
        <f>0.5*(F6+F7)</f>
        <v>15322.5</v>
      </c>
      <c r="H6" s="5">
        <f t="shared" si="0"/>
        <v>23.280130262258002</v>
      </c>
      <c r="I6" s="5">
        <f>H6+I7</f>
        <v>38.560920610612399</v>
      </c>
      <c r="J6" s="5">
        <f t="shared" si="2"/>
        <v>3007.7518076277702</v>
      </c>
      <c r="K6" s="5">
        <f>J6+K7</f>
        <v>5284.5895695325698</v>
      </c>
      <c r="L6" s="5">
        <f t="shared" si="3"/>
        <v>18.873534176902002</v>
      </c>
      <c r="M6" s="12">
        <f>IF(L6&gt;[1]Veriler!$D$1,IF(L6&gt;[1]Veriler!$D$2,IF(L6&gt;[1]Veriler!$D$3,IF(L6&gt;[1]Veriler!$D$4,IF(L6&gt;[1]Veriler!$D$5,IF(L6&gt;[1]Veriler!$D$6,IF(L6&gt;[1]Veriler!$D$7,IF(L6&gt;[1]Veriler!$D$8,"ders sorumlusuna başvur",[1]Veriler!$A$8),[1]Veriler!$A$7),[1]Veriler!$A$6),[1]Veriler!$A$5),[1]Veriler!$A$4),[1]Veriler!$A$3),[1]Veriler!$A$2),[1]Veriler!$A$1)</f>
        <v>1</v>
      </c>
      <c r="N6" s="12">
        <v>1</v>
      </c>
      <c r="O6" s="12" t="str">
        <f t="shared" si="4"/>
        <v>10 mm²</v>
      </c>
      <c r="P6" s="13" t="str">
        <f>IF(I6&lt;VLOOKUP(N6,[1]Veriler!A$1:E$8,5,FALSE)," UYGUNDUR","KESİT AKIMI TAŞIYAMIYOR")</f>
        <v xml:space="preserve"> UYGUNDUR</v>
      </c>
    </row>
    <row r="7" spans="1:16" ht="14.4">
      <c r="A7" s="6">
        <v>5</v>
      </c>
      <c r="B7" s="7">
        <v>5</v>
      </c>
      <c r="C7" s="7">
        <v>149</v>
      </c>
      <c r="D7" s="7">
        <v>3</v>
      </c>
      <c r="E7" s="7">
        <v>45</v>
      </c>
      <c r="F7" s="7">
        <f t="shared" si="1"/>
        <v>20115</v>
      </c>
      <c r="G7" s="7">
        <f>0.5*(F7)</f>
        <v>10057.5</v>
      </c>
      <c r="H7" s="7">
        <f t="shared" si="0"/>
        <v>15.280790348354399</v>
      </c>
      <c r="I7" s="7">
        <f>H7</f>
        <v>15.280790348354399</v>
      </c>
      <c r="J7" s="7">
        <f t="shared" si="2"/>
        <v>2276.8377619048001</v>
      </c>
      <c r="K7" s="7">
        <f>J7</f>
        <v>2276.8377619048001</v>
      </c>
      <c r="L7" s="7">
        <f t="shared" si="3"/>
        <v>8.1315634353742894</v>
      </c>
      <c r="M7" s="14">
        <f>IF(L7&gt;[1]Veriler!$D$1,IF(L7&gt;[1]Veriler!$D$2,IF(L7&gt;[1]Veriler!$D$3,IF(L7&gt;[1]Veriler!$D$4,IF(L7&gt;[1]Veriler!$D$5,IF(L7&gt;[1]Veriler!$D$6,IF(L7&gt;[1]Veriler!$D$7,IF(L7&gt;[1]Veriler!$D$8,"ders sorumlusuna başvur",[1]Veriler!$A$8),[1]Veriler!$A$7),[1]Veriler!$A$6),[1]Veriler!$A$5),[1]Veriler!$A$4),[1]Veriler!$A$3),[1]Veriler!$A$2),[1]Veriler!$A$1)</f>
        <v>1</v>
      </c>
      <c r="N7" s="14">
        <v>1</v>
      </c>
      <c r="O7" s="12" t="str">
        <f t="shared" si="4"/>
        <v>10 mm²</v>
      </c>
      <c r="P7" s="15" t="str">
        <f>IF(I7&lt;VLOOKUP(N7,[1]Veriler!A$1:E$8,5,FALSE)," UYGUNDUR","KESİT AKIMI TAŞIYAMIYOR")</f>
        <v xml:space="preserve"> UYGUNDUR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AutoCAD.Drawing.24" shapeId="7169" r:id="rId3">
          <objectPr defaultSize="0" r:id="rId4">
            <anchor moveWithCells="1">
              <from>
                <xdr:col>4</xdr:col>
                <xdr:colOff>800100</xdr:colOff>
                <xdr:row>7</xdr:row>
                <xdr:rowOff>68580</xdr:rowOff>
              </from>
              <to>
                <xdr:col>20</xdr:col>
                <xdr:colOff>563880</xdr:colOff>
                <xdr:row>44</xdr:row>
                <xdr:rowOff>38100</xdr:rowOff>
              </to>
            </anchor>
          </objectPr>
        </oleObject>
      </mc:Choice>
      <mc:Fallback>
        <oleObject progId="AutoCAD.Drawing.24" shapeId="7169" r:id="rId3"/>
      </mc:Fallback>
    </mc:AlternateContent>
  </oleObjec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I10" sqref="I10"/>
    </sheetView>
  </sheetViews>
  <sheetFormatPr defaultRowHeight="13.8"/>
  <sheetData>
    <row r="1" spans="1:15" ht="26.4">
      <c r="A1" s="87" t="s">
        <v>65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spans="1:15" ht="86.4">
      <c r="A2" s="89" t="s">
        <v>66</v>
      </c>
      <c r="B2" s="90"/>
      <c r="C2" s="91"/>
      <c r="D2" s="91"/>
      <c r="E2" s="91">
        <v>199</v>
      </c>
      <c r="F2" s="91"/>
      <c r="G2" s="91">
        <v>199</v>
      </c>
      <c r="H2" s="91"/>
      <c r="I2" s="91"/>
      <c r="J2" s="91"/>
      <c r="K2" s="92"/>
      <c r="L2" s="93"/>
      <c r="M2" s="91"/>
      <c r="N2" s="91"/>
      <c r="O2" s="62"/>
    </row>
    <row r="3" spans="1:15" ht="14.4">
      <c r="A3" s="94" t="s">
        <v>67</v>
      </c>
      <c r="B3" s="91"/>
      <c r="C3" s="91"/>
      <c r="D3" s="91">
        <f>F3+E2</f>
        <v>398</v>
      </c>
      <c r="E3" s="91"/>
      <c r="F3" s="91">
        <v>199</v>
      </c>
      <c r="G3" s="91"/>
      <c r="H3" s="91"/>
      <c r="I3" s="91"/>
      <c r="J3" s="91"/>
      <c r="K3" s="91"/>
      <c r="L3" s="91"/>
      <c r="M3" s="91"/>
      <c r="N3" s="91"/>
      <c r="O3" s="91"/>
    </row>
    <row r="4" spans="1:15" ht="14.4">
      <c r="A4" s="94" t="s">
        <v>68</v>
      </c>
      <c r="B4" s="91"/>
      <c r="C4" s="91"/>
      <c r="D4" s="91">
        <v>45</v>
      </c>
      <c r="E4" s="91"/>
      <c r="F4" s="91">
        <v>45</v>
      </c>
      <c r="G4" s="91"/>
      <c r="H4" s="91"/>
      <c r="I4" s="91"/>
      <c r="J4" s="91"/>
      <c r="K4" s="91"/>
      <c r="L4" s="91"/>
      <c r="M4" s="91"/>
      <c r="N4" s="91"/>
      <c r="O4" s="91"/>
    </row>
    <row r="5" spans="1:15" ht="14.4">
      <c r="A5" s="94" t="s">
        <v>69</v>
      </c>
      <c r="B5" s="91"/>
      <c r="C5" s="91"/>
      <c r="D5" s="91">
        <v>12.4</v>
      </c>
      <c r="E5" s="91"/>
      <c r="F5" s="91">
        <v>7.75</v>
      </c>
      <c r="G5" s="91"/>
      <c r="H5" s="91"/>
      <c r="I5" s="91"/>
      <c r="J5" s="91"/>
      <c r="K5" s="91"/>
      <c r="L5" s="91"/>
      <c r="M5" s="91"/>
      <c r="N5" s="91"/>
      <c r="O5" s="91"/>
    </row>
    <row r="6" spans="1:15" ht="14.4">
      <c r="A6" s="94" t="s">
        <v>70</v>
      </c>
      <c r="B6" s="91"/>
      <c r="C6" s="91"/>
      <c r="D6" s="91">
        <f>D5*D4*D3*10^-7</f>
        <v>2.22084E-2</v>
      </c>
      <c r="E6" s="91"/>
      <c r="F6" s="91">
        <f>F5*F4*F3*10^-7*398</f>
        <v>2.76216975</v>
      </c>
      <c r="G6" s="91"/>
      <c r="H6" s="91"/>
      <c r="I6" s="91"/>
      <c r="J6" s="91"/>
      <c r="K6" s="91"/>
      <c r="L6" s="91"/>
      <c r="M6" s="91"/>
      <c r="N6" s="91"/>
      <c r="O6" s="91"/>
    </row>
    <row r="7" spans="1:15" s="74" customFormat="1" ht="14.4">
      <c r="A7" s="94"/>
      <c r="B7" s="88" t="s">
        <v>76</v>
      </c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</row>
  </sheetData>
  <mergeCells count="36">
    <mergeCell ref="B7:O7"/>
    <mergeCell ref="N5:O5"/>
    <mergeCell ref="B6:C6"/>
    <mergeCell ref="D6:E6"/>
    <mergeCell ref="F6:G6"/>
    <mergeCell ref="H6:I6"/>
    <mergeCell ref="J6:K6"/>
    <mergeCell ref="L6:M6"/>
    <mergeCell ref="N6:O6"/>
    <mergeCell ref="B5:C5"/>
    <mergeCell ref="D5:E5"/>
    <mergeCell ref="F5:G5"/>
    <mergeCell ref="H5:I5"/>
    <mergeCell ref="J5:K5"/>
    <mergeCell ref="L5:M5"/>
    <mergeCell ref="N3:O3"/>
    <mergeCell ref="B4:C4"/>
    <mergeCell ref="D4:E4"/>
    <mergeCell ref="F4:G4"/>
    <mergeCell ref="H4:I4"/>
    <mergeCell ref="J4:K4"/>
    <mergeCell ref="L4:M4"/>
    <mergeCell ref="N4:O4"/>
    <mergeCell ref="B3:C3"/>
    <mergeCell ref="D3:E3"/>
    <mergeCell ref="F3:G3"/>
    <mergeCell ref="H3:I3"/>
    <mergeCell ref="J3:K3"/>
    <mergeCell ref="L3:M3"/>
    <mergeCell ref="B1:O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I3" sqref="I3"/>
    </sheetView>
  </sheetViews>
  <sheetFormatPr defaultRowHeight="13.8"/>
  <cols>
    <col min="1" max="1" width="15.796875" customWidth="1"/>
    <col min="2" max="2" width="14" customWidth="1"/>
    <col min="3" max="3" width="11.296875" customWidth="1"/>
    <col min="4" max="4" width="13.296875" customWidth="1"/>
    <col min="5" max="5" width="12" customWidth="1"/>
    <col min="6" max="6" width="12.19921875" customWidth="1"/>
    <col min="7" max="7" width="13.296875" customWidth="1"/>
  </cols>
  <sheetData>
    <row r="1" spans="1:7" ht="41.4">
      <c r="A1" s="107" t="s">
        <v>9</v>
      </c>
      <c r="B1" s="107" t="s">
        <v>10</v>
      </c>
      <c r="C1" s="107" t="s">
        <v>11</v>
      </c>
      <c r="D1" s="107" t="s">
        <v>12</v>
      </c>
      <c r="E1" s="107" t="s">
        <v>13</v>
      </c>
      <c r="F1" s="107" t="s">
        <v>14</v>
      </c>
      <c r="G1" s="107" t="s">
        <v>15</v>
      </c>
    </row>
    <row r="2" spans="1:7">
      <c r="A2" s="107"/>
      <c r="B2" s="107"/>
      <c r="C2" s="107"/>
      <c r="D2" s="107"/>
      <c r="E2" s="107"/>
      <c r="F2" s="107"/>
      <c r="G2" s="107"/>
    </row>
    <row r="3" spans="1:7" ht="41.4">
      <c r="A3" s="107">
        <v>3495.0962085363599</v>
      </c>
      <c r="B3" s="107">
        <v>14799.189063281399</v>
      </c>
      <c r="C3" s="107">
        <v>52.8542466545764</v>
      </c>
      <c r="D3" s="107">
        <v>5</v>
      </c>
      <c r="E3" s="107">
        <v>3</v>
      </c>
      <c r="F3" s="107" t="s">
        <v>77</v>
      </c>
      <c r="G3" s="107" t="s">
        <v>27</v>
      </c>
    </row>
    <row r="4" spans="1:7" ht="41.4">
      <c r="A4" s="107"/>
      <c r="B4" s="107"/>
      <c r="C4" s="107">
        <v>0</v>
      </c>
      <c r="D4" s="107">
        <v>1</v>
      </c>
      <c r="E4" s="107">
        <v>1</v>
      </c>
      <c r="F4" s="107" t="s">
        <v>78</v>
      </c>
      <c r="G4" s="107" t="s">
        <v>27</v>
      </c>
    </row>
    <row r="5" spans="1:7" ht="41.4">
      <c r="A5" s="107">
        <v>6019.5032852124796</v>
      </c>
      <c r="B5" s="107">
        <v>11304.092854745</v>
      </c>
      <c r="C5" s="107">
        <v>40.371760195518</v>
      </c>
      <c r="D5" s="107">
        <v>4</v>
      </c>
      <c r="E5" s="107">
        <v>1</v>
      </c>
      <c r="F5" s="107" t="s">
        <v>78</v>
      </c>
      <c r="G5" s="107" t="s">
        <v>27</v>
      </c>
    </row>
    <row r="6" spans="1:7" ht="41.4">
      <c r="A6" s="107">
        <v>3007.7518076277702</v>
      </c>
      <c r="B6" s="107">
        <v>5284.5895695325698</v>
      </c>
      <c r="C6" s="107">
        <v>18.873534176902002</v>
      </c>
      <c r="D6" s="107">
        <v>1</v>
      </c>
      <c r="E6" s="107">
        <v>1</v>
      </c>
      <c r="F6" s="107" t="s">
        <v>78</v>
      </c>
      <c r="G6" s="107" t="s">
        <v>27</v>
      </c>
    </row>
    <row r="7" spans="1:7" ht="41.4">
      <c r="A7" s="107">
        <v>2276.8377619048001</v>
      </c>
      <c r="B7" s="107">
        <v>2276.8377619048001</v>
      </c>
      <c r="C7" s="107">
        <v>8.1315634353742894</v>
      </c>
      <c r="D7" s="107">
        <v>1</v>
      </c>
      <c r="E7" s="107">
        <v>1</v>
      </c>
      <c r="F7" s="107" t="s">
        <v>78</v>
      </c>
      <c r="G7" s="107" t="s">
        <v>27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I14" sqref="I14"/>
    </sheetView>
  </sheetViews>
  <sheetFormatPr defaultColWidth="9" defaultRowHeight="13.8"/>
  <sheetData>
    <row r="1" spans="1:8">
      <c r="A1" s="1">
        <v>1</v>
      </c>
      <c r="B1" s="1" t="s">
        <v>28</v>
      </c>
      <c r="C1" s="1" t="s">
        <v>35</v>
      </c>
      <c r="D1" s="1">
        <v>21.14</v>
      </c>
      <c r="E1" s="1">
        <v>110</v>
      </c>
      <c r="F1" s="1"/>
      <c r="G1" s="1">
        <v>90</v>
      </c>
      <c r="H1" s="1">
        <f>IF(G1&gt;D1,IF(G1&gt;D2,IF(G1&gt;D3,IF(G1&gt;D4,IF(G1&gt;D5,IF(G1&gt;D6,IF(G1&gt;D7,IF(G1&gt;D8,"ders sorumlusuna başvur",A8),A7),A6),A5),A4),A3),A2),A1)</f>
        <v>8</v>
      </c>
    </row>
    <row r="2" spans="1:8">
      <c r="A2" s="1">
        <v>2</v>
      </c>
      <c r="B2" s="1" t="s">
        <v>36</v>
      </c>
      <c r="C2" s="1" t="s">
        <v>37</v>
      </c>
      <c r="D2" s="1">
        <v>26.6</v>
      </c>
      <c r="E2" s="1">
        <v>125</v>
      </c>
      <c r="F2" s="1"/>
      <c r="G2" s="1"/>
      <c r="H2" s="1"/>
    </row>
    <row r="3" spans="1:8">
      <c r="A3" s="1">
        <v>3</v>
      </c>
      <c r="B3" s="1" t="s">
        <v>26</v>
      </c>
      <c r="C3" s="1" t="s">
        <v>38</v>
      </c>
      <c r="D3" s="1">
        <v>33.53</v>
      </c>
      <c r="E3" s="1">
        <v>143</v>
      </c>
      <c r="F3" s="1"/>
      <c r="G3" s="1"/>
      <c r="H3" s="1"/>
    </row>
    <row r="4" spans="1:8">
      <c r="A4" s="1">
        <v>4</v>
      </c>
      <c r="B4" s="1" t="s">
        <v>39</v>
      </c>
      <c r="C4" s="1" t="s">
        <v>40</v>
      </c>
      <c r="D4" s="1">
        <v>42.49</v>
      </c>
      <c r="E4" s="1">
        <v>165</v>
      </c>
      <c r="F4" s="1"/>
      <c r="G4" s="1"/>
      <c r="H4" s="1"/>
    </row>
    <row r="5" spans="1:8">
      <c r="A5" s="1">
        <v>5</v>
      </c>
      <c r="B5" s="1" t="s">
        <v>41</v>
      </c>
      <c r="C5" s="1" t="s">
        <v>42</v>
      </c>
      <c r="D5" s="1">
        <v>53.48</v>
      </c>
      <c r="E5" s="1">
        <v>193</v>
      </c>
      <c r="F5" s="1"/>
      <c r="G5" s="1"/>
      <c r="H5" s="1"/>
    </row>
    <row r="6" spans="1:8">
      <c r="A6" s="1">
        <v>6</v>
      </c>
      <c r="B6" s="1" t="s">
        <v>43</v>
      </c>
      <c r="C6" s="1" t="s">
        <v>44</v>
      </c>
      <c r="D6" s="1">
        <v>67.14</v>
      </c>
      <c r="E6" s="1">
        <v>225</v>
      </c>
      <c r="F6" s="1"/>
      <c r="G6" s="1"/>
      <c r="H6" s="1"/>
    </row>
    <row r="7" spans="1:8">
      <c r="A7" s="1">
        <v>7</v>
      </c>
      <c r="B7" s="1" t="s">
        <v>45</v>
      </c>
      <c r="C7" s="1" t="s">
        <v>46</v>
      </c>
      <c r="D7" s="1">
        <v>84.91</v>
      </c>
      <c r="E7" s="1">
        <v>262</v>
      </c>
      <c r="F7" s="1"/>
      <c r="G7" s="1"/>
      <c r="H7" s="1"/>
    </row>
    <row r="8" spans="1:8">
      <c r="A8" s="1">
        <v>8</v>
      </c>
      <c r="B8" s="1" t="s">
        <v>47</v>
      </c>
      <c r="C8" s="1" t="s">
        <v>48</v>
      </c>
      <c r="D8" s="1">
        <v>107.38</v>
      </c>
      <c r="E8" s="1">
        <v>306</v>
      </c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 t="s">
        <v>49</v>
      </c>
      <c r="C10" s="1"/>
      <c r="D10" s="1">
        <v>104</v>
      </c>
      <c r="E10" s="1"/>
      <c r="F10" s="1"/>
      <c r="G10" s="1"/>
      <c r="H10" s="1"/>
    </row>
    <row r="11" spans="1:8">
      <c r="A11" s="1"/>
      <c r="B11" s="1" t="s">
        <v>50</v>
      </c>
      <c r="C11" s="1"/>
      <c r="D11" s="1">
        <v>137</v>
      </c>
      <c r="E11" s="1"/>
      <c r="F11" s="1"/>
      <c r="G11" s="1"/>
      <c r="H11" s="1"/>
    </row>
    <row r="12" spans="1:8">
      <c r="A12" s="1"/>
      <c r="B12" s="1" t="s">
        <v>51</v>
      </c>
      <c r="C12" s="1"/>
      <c r="D12" s="1">
        <v>168</v>
      </c>
      <c r="E12" s="1"/>
      <c r="F12" s="1"/>
      <c r="G12" s="1"/>
      <c r="H12" s="1"/>
    </row>
    <row r="13" spans="1:8">
      <c r="A13" s="1"/>
      <c r="B13" s="1" t="s">
        <v>52</v>
      </c>
      <c r="C13" s="1"/>
      <c r="D13" s="1">
        <v>210</v>
      </c>
      <c r="E13" s="1"/>
      <c r="F13" s="1"/>
      <c r="G13" s="1"/>
      <c r="H13" s="1"/>
    </row>
    <row r="14" spans="1:8">
      <c r="A14" s="1"/>
      <c r="B14" s="1" t="s">
        <v>53</v>
      </c>
      <c r="C14" s="1"/>
      <c r="D14" s="1">
        <v>260</v>
      </c>
      <c r="E14" s="1"/>
      <c r="F14" s="1"/>
      <c r="G14" s="1"/>
      <c r="H14" s="1"/>
    </row>
    <row r="15" spans="1:8">
      <c r="A15" s="1"/>
      <c r="B15" s="1" t="s">
        <v>54</v>
      </c>
      <c r="C15" s="1"/>
      <c r="D15" s="1">
        <v>310</v>
      </c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 t="s">
        <v>55</v>
      </c>
      <c r="C19" s="1" t="s">
        <v>56</v>
      </c>
      <c r="D19" s="1">
        <v>125</v>
      </c>
      <c r="E19" s="1">
        <v>107.8</v>
      </c>
      <c r="F19" s="1"/>
      <c r="G19" s="1"/>
      <c r="H19" s="1"/>
    </row>
    <row r="20" spans="1:8">
      <c r="A20" s="1"/>
      <c r="B20" s="1" t="s">
        <v>57</v>
      </c>
      <c r="C20" s="1" t="s">
        <v>58</v>
      </c>
      <c r="D20" s="1">
        <v>230</v>
      </c>
      <c r="E20" s="1">
        <v>216.2</v>
      </c>
      <c r="F20" s="1"/>
      <c r="G20" s="1"/>
      <c r="H20" s="1"/>
    </row>
    <row r="21" spans="1:8">
      <c r="A21" s="1"/>
      <c r="B21" s="1" t="s">
        <v>59</v>
      </c>
      <c r="C21" s="1" t="s">
        <v>60</v>
      </c>
      <c r="D21" s="1">
        <v>300</v>
      </c>
      <c r="E21" s="1">
        <v>343.9</v>
      </c>
      <c r="F21" s="1"/>
      <c r="G21" s="1"/>
      <c r="H21" s="1"/>
    </row>
    <row r="22" spans="1:8">
      <c r="A22" s="1"/>
      <c r="B22" s="1" t="s">
        <v>61</v>
      </c>
      <c r="C22" s="1" t="s">
        <v>62</v>
      </c>
      <c r="D22" s="1">
        <v>460</v>
      </c>
      <c r="E22" s="1"/>
      <c r="F22" s="1"/>
      <c r="G22" s="1"/>
      <c r="H22" s="1"/>
    </row>
    <row r="23" spans="1:8">
      <c r="A23" s="1"/>
      <c r="B23" s="1" t="s">
        <v>63</v>
      </c>
      <c r="C23" s="1" t="s">
        <v>64</v>
      </c>
      <c r="D23" s="1">
        <v>670</v>
      </c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1" sqref="E21"/>
    </sheetView>
  </sheetViews>
  <sheetFormatPr defaultColWidth="9" defaultRowHeight="13.8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9DF353-F79C-46ED-9D96-92CE1DAFDF2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5TR1_1 Gücü ve Akım </vt:lpstr>
      <vt:lpstr>5TR1-1Abone</vt:lpstr>
      <vt:lpstr>5TR1-1Aydınlatma</vt:lpstr>
      <vt:lpstr>TR1_1  Moment</vt:lpstr>
      <vt:lpstr>5TR1_2 Gücü ve Akım</vt:lpstr>
      <vt:lpstr>5TR1_2 Abone</vt:lpstr>
      <vt:lpstr>5TR1_2 Aydınlatma</vt:lpstr>
      <vt:lpstr>5TR1_2 Moment </vt:lpstr>
      <vt:lpstr>5TR1_3 Gücü ve Akım</vt:lpstr>
      <vt:lpstr>5TR1-3Abone</vt:lpstr>
      <vt:lpstr>5TR1-3Aydınlatma</vt:lpstr>
      <vt:lpstr>5TR1-3 moment</vt:lpstr>
      <vt:lpstr>5TR1_4 Yer altı Gücü ve Akım</vt:lpstr>
      <vt:lpstr>5TR1_4 Yer altı Abone</vt:lpstr>
      <vt:lpstr>5TR1_4 Yer altı moment</vt:lpstr>
      <vt:lpstr>5TR2_1 Gücü ve Akım</vt:lpstr>
      <vt:lpstr>5TR2_1 Abone</vt:lpstr>
      <vt:lpstr>5TR2-1Ayadınlatma</vt:lpstr>
      <vt:lpstr>5TR2-1Moment</vt:lpstr>
      <vt:lpstr>5TR2_2 Gücü ve Akım</vt:lpstr>
      <vt:lpstr>5TR2-2Abone</vt:lpstr>
      <vt:lpstr>5TR2-2Aydınlatma</vt:lpstr>
      <vt:lpstr>5TR2_2 Moment</vt:lpstr>
      <vt:lpstr>5TR2_3 Yer altı Gücü ve Akım</vt:lpstr>
      <vt:lpstr>5TR2_3 Yer altı Abone</vt:lpstr>
      <vt:lpstr>5TR2_3 Yer altı moment</vt:lpstr>
      <vt:lpstr>Veriler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Kawaf</dc:creator>
  <cp:lastModifiedBy>Omar Deen</cp:lastModifiedBy>
  <dcterms:created xsi:type="dcterms:W3CDTF">2024-05-29T14:58:00Z</dcterms:created>
  <dcterms:modified xsi:type="dcterms:W3CDTF">2025-05-29T16:47:16Z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773864DD268E415DB34578FF7C2F3596_12</vt:lpwstr>
  </property>
  <property fmtid="{D5CDD505-2E9C-101B-9397-08002B2CF9AE}" pid="3" name="KSOProductBuildVer">
    <vt:lpwstr>1033-12.2.0.21179</vt:lpwstr>
  </property>
</Properties>
</file>